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65" windowHeight="2070" activeTab="0"/>
  </bookViews>
  <sheets>
    <sheet name="Orçamento" sheetId="1" r:id="rId1"/>
    <sheet name="C FxF" sheetId="2" r:id="rId2"/>
  </sheets>
  <externalReferences>
    <externalReference r:id="rId5"/>
  </externalReferences>
  <definedNames>
    <definedName name="_xlnm.Print_Area" localSheetId="1">'C FxF'!$B$4:$R$25</definedName>
    <definedName name="_xlnm.Print_Area" localSheetId="0">'Orçamento'!$B$2:$I$80</definedName>
  </definedNames>
  <calcPr fullCalcOnLoad="1"/>
</workbook>
</file>

<file path=xl/comments1.xml><?xml version="1.0" encoding="utf-8"?>
<comments xmlns="http://schemas.openxmlformats.org/spreadsheetml/2006/main">
  <authors>
    <author>J?natas</author>
  </authors>
  <commentList>
    <comment ref="J9" authorId="0">
      <text>
        <r>
          <rPr>
            <b/>
            <sz val="9"/>
            <rFont val="Segoe UI"/>
            <family val="2"/>
          </rPr>
          <t>Jônatas:</t>
        </r>
        <r>
          <rPr>
            <sz val="9"/>
            <rFont val="Segoe UI"/>
            <family val="2"/>
          </rPr>
          <t xml:space="preserve">
Ou lançar direto na coluna de CUSTO UNIT.  sem fórmulas.</t>
        </r>
      </text>
    </comment>
  </commentList>
</comments>
</file>

<file path=xl/sharedStrings.xml><?xml version="1.0" encoding="utf-8"?>
<sst xmlns="http://schemas.openxmlformats.org/spreadsheetml/2006/main" count="316" uniqueCount="186">
  <si>
    <t>QUANT.</t>
  </si>
  <si>
    <t>CÓDIGO</t>
  </si>
  <si>
    <t>1.1</t>
  </si>
  <si>
    <t>m²</t>
  </si>
  <si>
    <t>1.2</t>
  </si>
  <si>
    <t>1.3</t>
  </si>
  <si>
    <t>m³</t>
  </si>
  <si>
    <t>2.1</t>
  </si>
  <si>
    <t>m³xkm</t>
  </si>
  <si>
    <t>MURO DE CONTENÇÃO</t>
  </si>
  <si>
    <t>DESCRIÇÃO DOS SERVIÇOS</t>
  </si>
  <si>
    <t>ÍTEM</t>
  </si>
  <si>
    <t>UNID.</t>
  </si>
  <si>
    <t>CUSTO TOTAL</t>
  </si>
  <si>
    <t>CUSTO UNIT.</t>
  </si>
  <si>
    <t>54.03.230</t>
  </si>
  <si>
    <t>54.03.240</t>
  </si>
  <si>
    <t>54.03.210</t>
  </si>
  <si>
    <t>54.03.200</t>
  </si>
  <si>
    <t>54.01.050</t>
  </si>
  <si>
    <t>TOTAL GERAL</t>
  </si>
  <si>
    <t>PLANILHA ORÇAMENTÁRIA</t>
  </si>
  <si>
    <t>PREFEITURA MUNICIPAL DA ESTANCIA DE CAMPOS DO JORDÃO</t>
  </si>
  <si>
    <t>SECRETARIA DE OBRAS E VIAS PÚBLICAS</t>
  </si>
  <si>
    <t>54.06.170</t>
  </si>
  <si>
    <t>Gabião tipo caixa em tela metálica, altura de 1,0m, com revestimento liga zinco/alumínio, malha hexagonal 8/10 cm, fio diâmetro 2,7mm, independente do formato ou utilização</t>
  </si>
  <si>
    <t>08.10.109</t>
  </si>
  <si>
    <t>Compactação do subleito mínimo de 95% do PN</t>
  </si>
  <si>
    <t>02.09.040</t>
  </si>
  <si>
    <t>Limpeza mecanizada do terreno, inclusive troncos até 15 cm de diâmetro, com caminhão à disposição, dentro e fora da obra, com transporte no raio de até 1,0 km</t>
  </si>
  <si>
    <t>07.02.080</t>
  </si>
  <si>
    <t>1.4</t>
  </si>
  <si>
    <t>1.5</t>
  </si>
  <si>
    <t>1.6</t>
  </si>
  <si>
    <t>Base de bica corrida</t>
  </si>
  <si>
    <t>54.01.220</t>
  </si>
  <si>
    <t>Demolição (levantamento) mecanizada de pavimento asfáltico, inclusive carregamento, transporte até 1,0 quilômetro e descarregamento</t>
  </si>
  <si>
    <t>Imprimação betuminosa ligante</t>
  </si>
  <si>
    <t>Imprimação betuminosa impermeabilizante</t>
  </si>
  <si>
    <t>03.07.010</t>
  </si>
  <si>
    <t>Eng Civil - Creasp nº 5061596181</t>
  </si>
  <si>
    <t>Jônatas Araujo de Carvalho</t>
  </si>
  <si>
    <t>1.7</t>
  </si>
  <si>
    <t>1.8</t>
  </si>
  <si>
    <t>SECRETARIA DE OBRAS E VIAS PUBLICAS</t>
  </si>
  <si>
    <t>CRONOGRAMA FÍSICO X FINANCEIRO DE EXECUÇÃO DA OBRA (Acompanha Planilha Orçamentária)</t>
  </si>
  <si>
    <t xml:space="preserve"> </t>
  </si>
  <si>
    <t>ITEM</t>
  </si>
  <si>
    <t>DESCRICAO</t>
  </si>
  <si>
    <t>VALOR</t>
  </si>
  <si>
    <t>MÊS 1</t>
  </si>
  <si>
    <t>MÊS 2</t>
  </si>
  <si>
    <t>MÊS 3</t>
  </si>
  <si>
    <t>MÊS 4</t>
  </si>
  <si>
    <t>MÊS 5</t>
  </si>
  <si>
    <t>MÊS 6</t>
  </si>
  <si>
    <t>ACUMULADO</t>
  </si>
  <si>
    <t>TOTAL</t>
  </si>
  <si>
    <t>%</t>
  </si>
  <si>
    <t>2</t>
  </si>
  <si>
    <t>Jônatas A. Carvalho</t>
  </si>
  <si>
    <t>Crea: 5061596181</t>
  </si>
  <si>
    <t>Camada de rolamento em concreto betuminoso usinado quente - CBUQ - 4cm</t>
  </si>
  <si>
    <t>Concreto asfáltico usinado a quente - Binder - 5cm</t>
  </si>
  <si>
    <t>Placa de identificação para obra</t>
  </si>
  <si>
    <t>02.08.020</t>
  </si>
  <si>
    <t>Sarjeta ou sarjetão moldado no local, tipo PMSP em concreto com fck 25 Mpa</t>
  </si>
  <si>
    <t>2.2</t>
  </si>
  <si>
    <t>2.3</t>
  </si>
  <si>
    <t>2.4</t>
  </si>
  <si>
    <t>SERVIÇOS PRELIMIRARES E MOVIMENTO DE TERRA</t>
  </si>
  <si>
    <t>m</t>
  </si>
  <si>
    <t>CPOS</t>
  </si>
  <si>
    <t>2.5</t>
  </si>
  <si>
    <t>Campos do Jordão, fevereiro de 2020</t>
  </si>
  <si>
    <r>
      <rPr>
        <b/>
        <sz val="10"/>
        <rFont val="Verdana"/>
        <family val="2"/>
      </rPr>
      <t>OBRA:</t>
    </r>
    <r>
      <rPr>
        <sz val="10"/>
        <rFont val="Verdana"/>
        <family val="2"/>
      </rPr>
      <t xml:space="preserve"> EXECUÇÃO DE CONTENÇÃO NA AVENIDA JOSÉ DE OLIVEIRA DAMAS E NA AVENIDA CITY PARK / Urgência está em situação de risco</t>
    </r>
  </si>
  <si>
    <r>
      <rPr>
        <b/>
        <sz val="10"/>
        <rFont val="Verdana"/>
        <family val="2"/>
      </rPr>
      <t>LOCAL:</t>
    </r>
    <r>
      <rPr>
        <sz val="10"/>
        <rFont val="Verdana"/>
        <family val="2"/>
      </rPr>
      <t xml:space="preserve"> JOSÉ DE OLIVEIRA DAMAS / Altura do Park Hotel - AVENIDA CITY PARK / Altura da Rodoviária</t>
    </r>
  </si>
  <si>
    <t>extenção 30,00 metros e largura de 5 m = 150 m²</t>
  </si>
  <si>
    <t>extenção de 30,00m x 4,00m = 120m²</t>
  </si>
  <si>
    <t>03.01.020</t>
  </si>
  <si>
    <t>Demolição mecanizada de sarjeta ou sarjetão, inclusive fragmentação, carregamento, transporte até 1 quilômetro e descarregamento</t>
  </si>
  <si>
    <t>03.01.260</t>
  </si>
  <si>
    <t>Demolição manual de concreto simples - calçada</t>
  </si>
  <si>
    <t>Retirada manual de guia pré-moldada, inclusive limpeza e empilhamento</t>
  </si>
  <si>
    <t>04.40.030</t>
  </si>
  <si>
    <t>extenção de 30,00m x 1,50m x 7cm</t>
  </si>
  <si>
    <t>Escavação mecanizada de valas ou cavas com profundidade acima de 4,00 m, com escavadeira hidráulica - escavações para implantação do muro</t>
  </si>
  <si>
    <t>áreas de projeto</t>
  </si>
  <si>
    <t>Reaterro compactado mecanizado de vala ou cava com compactador</t>
  </si>
  <si>
    <t>07.11.020</t>
  </si>
  <si>
    <t>Projeto</t>
  </si>
  <si>
    <t>Memória de calculo</t>
  </si>
  <si>
    <t>Enrocamento com pedra arrumada</t>
  </si>
  <si>
    <t>08.10.040</t>
  </si>
  <si>
    <t>Gabião saco diametro 0,65cm*6,00*30,00m + caixas 13,50 m²/m*30,00m + contrafortes 7,50m²*1,00m*3</t>
  </si>
  <si>
    <t>projeto</t>
  </si>
  <si>
    <t>Fonte de preço:  CPOS 177 - bdi 27%</t>
  </si>
  <si>
    <t>DRENAGEM SUPERFICIAL</t>
  </si>
  <si>
    <t>Base de bica corrida - para guias e sarjetas</t>
  </si>
  <si>
    <t>Corte de junta de dilatação, com serra de disco diamantado para pisos</t>
  </si>
  <si>
    <t>11.20.050</t>
  </si>
  <si>
    <t>Base de brita graduada</t>
  </si>
  <si>
    <t>54.01.210</t>
  </si>
  <si>
    <t>PAVIMENTAÇÃO E CALÇADAS</t>
  </si>
  <si>
    <t>Reassentamento de guia pré-moldada reta e/ou curva</t>
  </si>
  <si>
    <t>54.20.100</t>
  </si>
  <si>
    <t>Forma em madeira comum para fundação</t>
  </si>
  <si>
    <t>09.01.020</t>
  </si>
  <si>
    <t>Concreto usinado, fck = 30 Mpa</t>
  </si>
  <si>
    <t>11.01.160</t>
  </si>
  <si>
    <t>Lançamento e adensamento de concreto ou massa em fundação</t>
  </si>
  <si>
    <t>11.16.040</t>
  </si>
  <si>
    <t>CALÇADA</t>
  </si>
  <si>
    <t>1.9</t>
  </si>
  <si>
    <t>1.10</t>
  </si>
  <si>
    <t>1.11</t>
  </si>
  <si>
    <t>05.10.023</t>
  </si>
  <si>
    <t>Transporte de solo de 1ª e 2ª categoria por caminhão para distâncias superiores ao 5° km até o 10° km - solo remanescente e demolições</t>
  </si>
  <si>
    <t>TOTAL TRECHO PARK HOTEL</t>
  </si>
  <si>
    <t>Locação para muros, cercas e alambrados</t>
  </si>
  <si>
    <t>02.10.050</t>
  </si>
  <si>
    <t>Guias de jardim + guias PMSP</t>
  </si>
  <si>
    <t>CALÇADA E OUTROS</t>
  </si>
  <si>
    <t>Reassentamento de pavimentação em lajota de concreto, espessura 6 cm, com rejunte em areia</t>
  </si>
  <si>
    <t>54.20.120</t>
  </si>
  <si>
    <t>Retirada manual de paralelepípedo ou lajota de concreto, inclusive limpeza e empilhamento</t>
  </si>
  <si>
    <t>04.40.070</t>
  </si>
  <si>
    <t>Retirada de guarda-corpo ou gradil em geral</t>
  </si>
  <si>
    <t>04.09.100</t>
  </si>
  <si>
    <t>Recolocação de esquadrias metálicas</t>
  </si>
  <si>
    <t>24.20.020</t>
  </si>
  <si>
    <t>Escavação e carga mecanizada em solo de 2ª categoria, em campo aberto</t>
  </si>
  <si>
    <t>07.01.060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</si>
  <si>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</si>
  <si>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</si>
  <si>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</si>
  <si>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</si>
  <si>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</si>
  <si>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</si>
  <si>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</si>
  <si>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</si>
  <si>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</si>
  <si>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</si>
  <si>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</si>
  <si>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</si>
  <si>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</si>
  <si>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</si>
  <si>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</si>
  <si>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</si>
  <si>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</si>
  <si>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</si>
  <si>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</si>
  <si>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</si>
  <si>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</si>
  <si>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</si>
  <si>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</si>
  <si>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</si>
  <si>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</si>
  <si>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</si>
  <si>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</si>
  <si>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</si>
  <si>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</si>
  <si>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</si>
  <si>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base para recompor a calçada</t>
  </si>
  <si>
    <t>2.19</t>
  </si>
  <si>
    <t>2.20</t>
  </si>
  <si>
    <t>2.21</t>
  </si>
  <si>
    <t>Remoção de poste metálico</t>
  </si>
  <si>
    <t>04.21.140</t>
  </si>
  <si>
    <t>Recolocação de poste telecônico em aço SAE 1010/1020 galvanizado a fogo, com espera para uma luminária, altura de 3,00 m - somente mdo</t>
  </si>
  <si>
    <t>41.10.400</t>
  </si>
  <si>
    <t>Broca em concreto armado diâmetro de 30 cm - completa</t>
  </si>
  <si>
    <t>12.01.060</t>
  </si>
  <si>
    <t>un.</t>
  </si>
  <si>
    <t>Manta geotêxtil com resistência à tração longitudinal de 10kN/m e transversal de 9kN/m</t>
  </si>
  <si>
    <t>08.05.180</t>
  </si>
  <si>
    <t>TRECHO PARK HOTEL - H=5,00m</t>
  </si>
  <si>
    <t>Gabião saco diametro 0,65cm*4,00*35,00m + caixas 4,50 m²/m*35,00m</t>
  </si>
  <si>
    <t>TRECHO CITY PARK - H=3,00m</t>
  </si>
  <si>
    <t>extenção 35,00 metros e largura de 3 m</t>
  </si>
  <si>
    <t>para demolição de guias e sarjetas o trecho será de 30,00m</t>
  </si>
  <si>
    <t>1,50m para cada poste + 1,00m para cada 1,60m da extenção do gradil (22/1,60=14)*1,00</t>
  </si>
  <si>
    <t>Prefeitura Municipal da Estância de Campos do Jordão</t>
  </si>
  <si>
    <t>Imprimir em papel timbrado da Empresa, qualificar e Assinar</t>
  </si>
  <si>
    <t>unit. Sem BDI</t>
  </si>
  <si>
    <t>Preencher os valores da propósta aqui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</si>
</sst>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Cr$&quot;* #,##0.00_);_(&quot;Cr$&quot;* \(#,##0.00\);_(&quot;Cr$&quot;* &quot;-&quot;??_);_(@_)"/>
    <numFmt numFmtId="171" formatCode="#,##0.000"/>
    <numFmt numFmtId="172" formatCode="00\-00\-00"/>
    <numFmt numFmtId="173" formatCode="_(* #,##0.00_);_(* \(#,##0.00\);_(* &quot;-&quot;??_);_(@_)"/>
    <numFmt numFmtId="174" formatCode="[$-416]dddd\,\ d&quot; de &quot;mmmm&quot; de &quot;yyyy"/>
    <numFmt numFmtId="175" formatCode="0.000%"/>
    <numFmt numFmtId="176" formatCode="0.0%"/>
    <numFmt numFmtId="177" formatCode="_-* #,##0.000_-;\-* #,##0.000_-;_-* &quot;-&quot;??_-;_-@_-"/>
    <numFmt numFmtId="178" formatCode="_-* #,##0.0000_-;\-* #,##0.0000_-;_-* &quot;-&quot;??_-;_-@_-"/>
    <numFmt numFmtId="179" formatCode="#,##0.0000"/>
    <numFmt numFmtId="180" formatCode="#,##0.00000"/>
    <numFmt numFmtId="181" formatCode="0.00000%"/>
    <numFmt numFmtId="182" formatCode="0.000000%"/>
    <numFmt numFmtId="183" formatCode="0.0000000%"/>
    <numFmt numFmtId="184" formatCode="0.0000%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2"/>
      <name val="Verdana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1"/>
      <name val="Verdana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sz val="14"/>
      <color indexed="18"/>
      <name val="Times New Roman"/>
      <family val="1"/>
    </font>
    <font>
      <sz val="9"/>
      <color indexed="18"/>
      <name val="Times New Roman"/>
      <family val="1"/>
    </font>
    <font>
      <b/>
      <sz val="9"/>
      <name val="Calibri"/>
      <family val="2"/>
    </font>
    <font>
      <b/>
      <sz val="11"/>
      <name val="Arial"/>
      <family val="2"/>
    </font>
    <font>
      <sz val="18"/>
      <color indexed="10"/>
      <name val="Calibri"/>
      <family val="2"/>
    </font>
    <font>
      <sz val="10"/>
      <color indexed="10"/>
      <name val="Verdana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  <font>
      <sz val="14"/>
      <color rgb="FF000099"/>
      <name val="Times New Roman"/>
      <family val="1"/>
    </font>
    <font>
      <sz val="9"/>
      <color rgb="FF000099"/>
      <name val="Times New Roman"/>
      <family val="1"/>
    </font>
    <font>
      <sz val="18"/>
      <color rgb="FFFF0000"/>
      <name val="Calibri"/>
      <family val="2"/>
    </font>
    <font>
      <sz val="10"/>
      <color rgb="FFFF0000"/>
      <name val="Verdan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indexed="56"/>
      </left>
      <right style="dotted">
        <color indexed="56"/>
      </right>
      <top style="medium">
        <color indexed="56"/>
      </top>
      <bottom style="medium">
        <color indexed="56"/>
      </bottom>
    </border>
    <border>
      <left style="dotted">
        <color indexed="56"/>
      </left>
      <right style="dotted">
        <color indexed="56"/>
      </right>
      <top/>
      <bottom style="medium">
        <color indexed="56"/>
      </bottom>
    </border>
    <border>
      <left>
        <color indexed="63"/>
      </left>
      <right style="dotted">
        <color indexed="56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>
        <color indexed="56"/>
      </right>
      <top/>
      <bottom style="medium">
        <color indexed="56"/>
      </bottom>
    </border>
    <border>
      <left style="medium"/>
      <right style="dotted">
        <color indexed="56"/>
      </right>
      <top style="medium">
        <color indexed="56"/>
      </top>
      <bottom style="medium">
        <color indexed="56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>
        <color indexed="56"/>
      </left>
      <right style="medium"/>
      <top/>
      <bottom style="medium">
        <color indexed="56"/>
      </bottom>
    </border>
    <border>
      <left>
        <color indexed="63"/>
      </left>
      <right style="medium"/>
      <top>
        <color indexed="63"/>
      </top>
      <bottom style="medium"/>
    </border>
    <border>
      <left style="dotted">
        <color indexed="56"/>
      </left>
      <right style="medium"/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>
        <color indexed="56"/>
      </top>
      <bottom>
        <color indexed="63"/>
      </bottom>
    </border>
    <border>
      <left/>
      <right/>
      <top style="medium">
        <color indexed="56"/>
      </top>
      <bottom/>
    </border>
    <border>
      <left/>
      <right style="medium"/>
      <top style="medium">
        <color indexed="56"/>
      </top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otted">
        <color indexed="56"/>
      </right>
      <top style="medium">
        <color indexed="56"/>
      </top>
      <bottom>
        <color indexed="63"/>
      </bottom>
    </border>
    <border>
      <left style="dotted">
        <color indexed="56"/>
      </left>
      <right style="dotted">
        <color indexed="56"/>
      </right>
      <top style="medium">
        <color indexed="56"/>
      </top>
      <bottom>
        <color indexed="63"/>
      </bottom>
    </border>
    <border>
      <left style="medium"/>
      <right style="dotted"/>
      <top style="medium">
        <color indexed="56"/>
      </top>
      <bottom style="dotted"/>
    </border>
    <border>
      <left style="dotted"/>
      <right style="dotted"/>
      <top style="medium">
        <color indexed="56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>
        <color indexed="56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/>
      <top style="medium">
        <color indexed="56"/>
      </top>
      <bottom style="medium">
        <color indexed="56"/>
      </bottom>
    </border>
    <border>
      <left/>
      <right/>
      <top style="medium">
        <color indexed="56"/>
      </top>
      <bottom style="medium">
        <color indexed="56"/>
      </bottom>
    </border>
    <border>
      <left/>
      <right style="medium"/>
      <top style="medium">
        <color indexed="56"/>
      </top>
      <bottom style="medium">
        <color indexed="56"/>
      </bottom>
    </border>
    <border>
      <left style="dotted">
        <color indexed="56"/>
      </left>
      <right style="medium"/>
      <top style="medium">
        <color indexed="56"/>
      </top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medium">
        <color indexed="56"/>
      </top>
      <bottom style="dotted"/>
    </border>
    <border>
      <left style="dotted"/>
      <right style="medium"/>
      <top style="dotted"/>
      <bottom style="medium">
        <color indexed="56"/>
      </bottom>
    </border>
    <border>
      <left style="medium">
        <color indexed="56"/>
      </left>
      <right/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dotted"/>
      <top style="dotted"/>
      <bottom style="medium">
        <color indexed="56"/>
      </bottom>
    </border>
    <border>
      <left style="medium"/>
      <right style="dotted"/>
      <top style="medium"/>
      <bottom style="dashed"/>
    </border>
    <border>
      <left style="dotted"/>
      <right style="dotted"/>
      <top style="medium"/>
      <bottom style="dashed"/>
    </border>
    <border>
      <left style="dotted"/>
      <right style="medium"/>
      <top style="medium"/>
      <bottom style="dashed"/>
    </border>
    <border>
      <left style="medium"/>
      <right style="dotted"/>
      <top style="dashed"/>
      <bottom style="dashed"/>
    </border>
    <border>
      <left style="dotted"/>
      <right style="dotted"/>
      <top style="dashed"/>
      <bottom style="dashed"/>
    </border>
    <border>
      <left style="dotted"/>
      <right style="medium"/>
      <top style="dashed"/>
      <bottom style="dashed"/>
    </border>
    <border>
      <left style="medium"/>
      <right style="dotted"/>
      <top style="dashed"/>
      <bottom style="medium">
        <color indexed="56"/>
      </bottom>
    </border>
    <border>
      <left style="dotted"/>
      <right style="dotted"/>
      <top style="dashed"/>
      <bottom style="medium">
        <color indexed="56"/>
      </bottom>
    </border>
    <border>
      <left style="dotted"/>
      <right style="medium"/>
      <top style="dashed"/>
      <bottom style="medium">
        <color indexed="56"/>
      </bottom>
    </border>
    <border>
      <left style="medium"/>
      <right style="dotted"/>
      <top style="medium">
        <color indexed="56"/>
      </top>
      <bottom style="medium">
        <color indexed="56"/>
      </bottom>
    </border>
    <border>
      <left style="dotted"/>
      <right style="dotted"/>
      <top style="medium">
        <color indexed="56"/>
      </top>
      <bottom style="medium">
        <color indexed="56"/>
      </bottom>
    </border>
    <border>
      <left style="dotted"/>
      <right style="medium"/>
      <top style="medium">
        <color indexed="56"/>
      </top>
      <bottom style="medium">
        <color indexed="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1" fillId="8" borderId="10" xfId="0" applyNumberFormat="1" applyFont="1" applyFill="1" applyBorder="1" applyAlignment="1">
      <alignment horizontal="center" vertical="center"/>
    </xf>
    <xf numFmtId="0" fontId="42" fillId="8" borderId="10" xfId="0" applyFont="1" applyFill="1" applyBorder="1" applyAlignment="1">
      <alignment horizontal="left" vertical="center" wrapText="1"/>
    </xf>
    <xf numFmtId="0" fontId="9" fillId="8" borderId="10" xfId="0" applyFont="1" applyFill="1" applyBorder="1" applyAlignment="1">
      <alignment horizontal="center" vertical="center"/>
    </xf>
    <xf numFmtId="4" fontId="9" fillId="8" borderId="10" xfId="0" applyNumberFormat="1" applyFont="1" applyFill="1" applyBorder="1" applyAlignment="1">
      <alignment horizontal="right" vertical="center"/>
    </xf>
    <xf numFmtId="0" fontId="43" fillId="0" borderId="11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17" fontId="42" fillId="0" borderId="11" xfId="0" applyNumberFormat="1" applyFont="1" applyFill="1" applyBorder="1" applyAlignment="1">
      <alignment vertical="center"/>
    </xf>
    <xf numFmtId="0" fontId="42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72" fontId="0" fillId="0" borderId="0" xfId="48" applyNumberFormat="1" applyFont="1" applyFill="1" applyBorder="1" applyAlignment="1">
      <alignment horizontal="center" vertical="center" wrapText="1"/>
      <protection/>
    </xf>
    <xf numFmtId="172" fontId="7" fillId="0" borderId="0" xfId="4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42" fillId="8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" fontId="45" fillId="0" borderId="14" xfId="0" applyNumberFormat="1" applyFont="1" applyBorder="1" applyAlignment="1">
      <alignment horizontal="center" vertical="center"/>
    </xf>
    <xf numFmtId="17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2" fillId="8" borderId="2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2" fontId="9" fillId="0" borderId="23" xfId="0" applyNumberFormat="1" applyFont="1" applyBorder="1" applyAlignment="1">
      <alignment vertical="center"/>
    </xf>
    <xf numFmtId="0" fontId="42" fillId="0" borderId="24" xfId="0" applyFont="1" applyFill="1" applyBorder="1" applyAlignment="1">
      <alignment vertical="center" wrapText="1"/>
    </xf>
    <xf numFmtId="2" fontId="42" fillId="0" borderId="19" xfId="0" applyNumberFormat="1" applyFont="1" applyBorder="1" applyAlignment="1">
      <alignment horizontal="center" vertical="center"/>
    </xf>
    <xf numFmtId="2" fontId="42" fillId="0" borderId="25" xfId="0" applyNumberFormat="1" applyFont="1" applyBorder="1" applyAlignment="1">
      <alignment horizontal="center" vertical="center"/>
    </xf>
    <xf numFmtId="0" fontId="46" fillId="8" borderId="21" xfId="0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vertical="center"/>
    </xf>
    <xf numFmtId="17" fontId="46" fillId="8" borderId="10" xfId="0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 wrapText="1"/>
    </xf>
    <xf numFmtId="0" fontId="46" fillId="8" borderId="2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27" xfId="0" applyFont="1" applyBorder="1" applyAlignment="1">
      <alignment/>
    </xf>
    <xf numFmtId="2" fontId="9" fillId="0" borderId="27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/>
    </xf>
    <xf numFmtId="172" fontId="0" fillId="0" borderId="16" xfId="0" applyNumberForma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172" fontId="0" fillId="0" borderId="18" xfId="0" applyNumberForma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19" xfId="0" applyFont="1" applyBorder="1" applyAlignment="1">
      <alignment/>
    </xf>
    <xf numFmtId="0" fontId="14" fillId="0" borderId="18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16" fillId="33" borderId="33" xfId="0" applyFont="1" applyFill="1" applyBorder="1" applyAlignment="1">
      <alignment horizontal="center" vertical="center"/>
    </xf>
    <xf numFmtId="0" fontId="16" fillId="33" borderId="34" xfId="0" applyFont="1" applyFill="1" applyBorder="1" applyAlignment="1">
      <alignment horizontal="center" vertical="center"/>
    </xf>
    <xf numFmtId="0" fontId="19" fillId="33" borderId="34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 wrapText="1"/>
    </xf>
    <xf numFmtId="172" fontId="16" fillId="0" borderId="34" xfId="0" applyNumberFormat="1" applyFont="1" applyFill="1" applyBorder="1" applyAlignment="1">
      <alignment horizontal="left" vertical="center" wrapText="1"/>
    </xf>
    <xf numFmtId="43" fontId="16" fillId="0" borderId="34" xfId="0" applyNumberFormat="1" applyFont="1" applyFill="1" applyBorder="1" applyAlignment="1">
      <alignment vertical="center"/>
    </xf>
    <xf numFmtId="176" fontId="20" fillId="0" borderId="34" xfId="0" applyNumberFormat="1" applyFont="1" applyFill="1" applyBorder="1" applyAlignment="1">
      <alignment horizontal="center" vertical="center"/>
    </xf>
    <xf numFmtId="43" fontId="0" fillId="0" borderId="34" xfId="0" applyNumberFormat="1" applyFill="1" applyBorder="1" applyAlignment="1">
      <alignment vertical="center"/>
    </xf>
    <xf numFmtId="176" fontId="20" fillId="0" borderId="34" xfId="0" applyNumberFormat="1" applyFont="1" applyBorder="1" applyAlignment="1">
      <alignment horizontal="center" vertical="center"/>
    </xf>
    <xf numFmtId="176" fontId="18" fillId="0" borderId="34" xfId="0" applyNumberFormat="1" applyFont="1" applyBorder="1" applyAlignment="1">
      <alignment vertical="center"/>
    </xf>
    <xf numFmtId="43" fontId="18" fillId="0" borderId="35" xfId="0" applyNumberFormat="1" applyFont="1" applyBorder="1" applyAlignment="1">
      <alignment vertical="center"/>
    </xf>
    <xf numFmtId="176" fontId="21" fillId="0" borderId="34" xfId="0" applyNumberFormat="1" applyFont="1" applyFill="1" applyBorder="1" applyAlignment="1">
      <alignment horizontal="center" vertical="center"/>
    </xf>
    <xf numFmtId="176" fontId="21" fillId="0" borderId="34" xfId="0" applyNumberFormat="1" applyFont="1" applyBorder="1" applyAlignment="1">
      <alignment horizontal="center" vertical="center"/>
    </xf>
    <xf numFmtId="172" fontId="10" fillId="0" borderId="36" xfId="0" applyNumberFormat="1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43" fontId="14" fillId="0" borderId="34" xfId="0" applyNumberFormat="1" applyFont="1" applyFill="1" applyBorder="1" applyAlignment="1">
      <alignment vertical="center"/>
    </xf>
    <xf numFmtId="9" fontId="0" fillId="0" borderId="34" xfId="0" applyNumberFormat="1" applyFill="1" applyBorder="1" applyAlignment="1">
      <alignment horizontal="center" vertical="center"/>
    </xf>
    <xf numFmtId="43" fontId="18" fillId="0" borderId="34" xfId="0" applyNumberFormat="1" applyFont="1" applyFill="1" applyBorder="1" applyAlignment="1">
      <alignment vertical="center"/>
    </xf>
    <xf numFmtId="9" fontId="0" fillId="0" borderId="34" xfId="0" applyNumberFormat="1" applyFill="1" applyBorder="1" applyAlignment="1">
      <alignment vertical="center"/>
    </xf>
    <xf numFmtId="43" fontId="22" fillId="0" borderId="35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42" fillId="8" borderId="37" xfId="0" applyNumberFormat="1" applyFont="1" applyFill="1" applyBorder="1" applyAlignment="1">
      <alignment horizontal="center" vertical="center"/>
    </xf>
    <xf numFmtId="0" fontId="41" fillId="8" borderId="38" xfId="0" applyNumberFormat="1" applyFont="1" applyFill="1" applyBorder="1" applyAlignment="1">
      <alignment horizontal="right" vertical="center"/>
    </xf>
    <xf numFmtId="0" fontId="42" fillId="8" borderId="38" xfId="0" applyFont="1" applyFill="1" applyBorder="1" applyAlignment="1">
      <alignment horizontal="left" vertical="center" wrapText="1"/>
    </xf>
    <xf numFmtId="0" fontId="9" fillId="8" borderId="38" xfId="0" applyFont="1" applyFill="1" applyBorder="1" applyAlignment="1">
      <alignment horizontal="center" vertical="center"/>
    </xf>
    <xf numFmtId="4" fontId="9" fillId="8" borderId="38" xfId="0" applyNumberFormat="1" applyFont="1" applyFill="1" applyBorder="1" applyAlignment="1">
      <alignment horizontal="right" vertical="center"/>
    </xf>
    <xf numFmtId="10" fontId="9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0" fontId="9" fillId="0" borderId="39" xfId="0" applyNumberFormat="1" applyFont="1" applyFill="1" applyBorder="1" applyAlignment="1">
      <alignment horizontal="center" vertical="center"/>
    </xf>
    <xf numFmtId="0" fontId="44" fillId="0" borderId="40" xfId="0" applyNumberFormat="1" applyFont="1" applyFill="1" applyBorder="1" applyAlignment="1">
      <alignment horizontal="center" vertical="center"/>
    </xf>
    <xf numFmtId="0" fontId="1" fillId="0" borderId="40" xfId="48" applyFont="1" applyFill="1" applyBorder="1" applyAlignment="1">
      <alignment vertical="center" wrapText="1"/>
      <protection/>
    </xf>
    <xf numFmtId="0" fontId="9" fillId="0" borderId="40" xfId="0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right" vertical="center"/>
    </xf>
    <xf numFmtId="0" fontId="9" fillId="0" borderId="41" xfId="0" applyNumberFormat="1" applyFont="1" applyFill="1" applyBorder="1" applyAlignment="1">
      <alignment horizontal="center" vertical="center"/>
    </xf>
    <xf numFmtId="0" fontId="44" fillId="0" borderId="42" xfId="0" applyNumberFormat="1" applyFont="1" applyFill="1" applyBorder="1" applyAlignment="1">
      <alignment horizontal="center" vertical="center"/>
    </xf>
    <xf numFmtId="0" fontId="1" fillId="0" borderId="42" xfId="48" applyFont="1" applyFill="1" applyBorder="1" applyAlignment="1">
      <alignment vertical="center" wrapText="1"/>
      <protection/>
    </xf>
    <xf numFmtId="0" fontId="9" fillId="0" borderId="42" xfId="0" applyFont="1" applyBorder="1" applyAlignment="1">
      <alignment horizontal="center" vertical="center"/>
    </xf>
    <xf numFmtId="4" fontId="9" fillId="0" borderId="42" xfId="0" applyNumberFormat="1" applyFont="1" applyBorder="1" applyAlignment="1">
      <alignment horizontal="right" vertical="center"/>
    </xf>
    <xf numFmtId="4" fontId="9" fillId="0" borderId="42" xfId="0" applyNumberFormat="1" applyFont="1" applyFill="1" applyBorder="1" applyAlignment="1">
      <alignment horizontal="right" vertical="center"/>
    </xf>
    <xf numFmtId="0" fontId="44" fillId="0" borderId="43" xfId="0" applyNumberFormat="1" applyFont="1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right" vertical="center"/>
    </xf>
    <xf numFmtId="4" fontId="9" fillId="0" borderId="43" xfId="0" applyNumberFormat="1" applyFont="1" applyBorder="1" applyAlignment="1">
      <alignment horizontal="right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44" fillId="0" borderId="45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9" fillId="0" borderId="45" xfId="0" applyFont="1" applyBorder="1" applyAlignment="1">
      <alignment horizontal="center" vertical="center"/>
    </xf>
    <xf numFmtId="4" fontId="9" fillId="0" borderId="45" xfId="0" applyNumberFormat="1" applyFont="1" applyBorder="1" applyAlignment="1">
      <alignment horizontal="right" vertical="center"/>
    </xf>
    <xf numFmtId="0" fontId="7" fillId="0" borderId="42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42" fillId="34" borderId="46" xfId="0" applyNumberFormat="1" applyFont="1" applyFill="1" applyBorder="1" applyAlignment="1">
      <alignment horizontal="center" vertical="center"/>
    </xf>
    <xf numFmtId="0" fontId="41" fillId="34" borderId="47" xfId="0" applyNumberFormat="1" applyFont="1" applyFill="1" applyBorder="1" applyAlignment="1">
      <alignment horizontal="right" vertical="center"/>
    </xf>
    <xf numFmtId="0" fontId="43" fillId="34" borderId="47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/>
    </xf>
    <xf numFmtId="4" fontId="9" fillId="34" borderId="47" xfId="0" applyNumberFormat="1" applyFont="1" applyFill="1" applyBorder="1" applyAlignment="1">
      <alignment horizontal="right" vertical="center"/>
    </xf>
    <xf numFmtId="4" fontId="42" fillId="34" borderId="48" xfId="45" applyNumberFormat="1" applyFont="1" applyFill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9" fillId="8" borderId="0" xfId="0" applyNumberFormat="1" applyFont="1" applyFill="1" applyBorder="1" applyAlignment="1">
      <alignment horizontal="right" vertical="center"/>
    </xf>
    <xf numFmtId="4" fontId="42" fillId="8" borderId="0" xfId="0" applyNumberFormat="1" applyFont="1" applyFill="1" applyBorder="1" applyAlignment="1">
      <alignment horizontal="left" vertical="center" wrapText="1"/>
    </xf>
    <xf numFmtId="4" fontId="73" fillId="0" borderId="41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3" fontId="42" fillId="8" borderId="49" xfId="45" applyNumberFormat="1" applyFont="1" applyFill="1" applyBorder="1" applyAlignment="1">
      <alignment vertical="center"/>
    </xf>
    <xf numFmtId="43" fontId="9" fillId="0" borderId="50" xfId="45" applyNumberFormat="1" applyFont="1" applyFill="1" applyBorder="1" applyAlignment="1">
      <alignment vertical="center"/>
    </xf>
    <xf numFmtId="43" fontId="9" fillId="0" borderId="51" xfId="45" applyNumberFormat="1" applyFont="1" applyFill="1" applyBorder="1" applyAlignment="1">
      <alignment vertical="center"/>
    </xf>
    <xf numFmtId="43" fontId="42" fillId="8" borderId="26" xfId="45" applyNumberFormat="1" applyFont="1" applyFill="1" applyBorder="1" applyAlignment="1">
      <alignment vertical="center"/>
    </xf>
    <xf numFmtId="43" fontId="9" fillId="0" borderId="52" xfId="45" applyNumberFormat="1" applyFont="1" applyFill="1" applyBorder="1" applyAlignment="1">
      <alignment vertical="center"/>
    </xf>
    <xf numFmtId="43" fontId="9" fillId="0" borderId="53" xfId="45" applyNumberFormat="1" applyFont="1" applyFill="1" applyBorder="1" applyAlignment="1">
      <alignment vertical="center"/>
    </xf>
    <xf numFmtId="43" fontId="42" fillId="8" borderId="26" xfId="0" applyNumberFormat="1" applyFont="1" applyFill="1" applyBorder="1" applyAlignment="1">
      <alignment horizontal="right" vertical="center" wrapText="1"/>
    </xf>
    <xf numFmtId="4" fontId="9" fillId="8" borderId="41" xfId="0" applyNumberFormat="1" applyFont="1" applyFill="1" applyBorder="1" applyAlignment="1">
      <alignment horizontal="right" vertical="center"/>
    </xf>
    <xf numFmtId="0" fontId="42" fillId="8" borderId="41" xfId="0" applyFont="1" applyFill="1" applyBorder="1" applyAlignment="1">
      <alignment horizontal="left" vertical="center" wrapText="1"/>
    </xf>
    <xf numFmtId="4" fontId="73" fillId="8" borderId="41" xfId="0" applyNumberFormat="1" applyFont="1" applyFill="1" applyBorder="1" applyAlignment="1">
      <alignment horizontal="right" vertical="center"/>
    </xf>
    <xf numFmtId="0" fontId="2" fillId="0" borderId="41" xfId="0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74" fillId="0" borderId="55" xfId="0" applyFont="1" applyBorder="1" applyAlignment="1">
      <alignment horizontal="left" vertical="center"/>
    </xf>
    <xf numFmtId="0" fontId="74" fillId="0" borderId="17" xfId="0" applyFont="1" applyBorder="1" applyAlignment="1">
      <alignment horizontal="left" vertical="center"/>
    </xf>
    <xf numFmtId="0" fontId="74" fillId="0" borderId="56" xfId="0" applyFont="1" applyBorder="1" applyAlignment="1">
      <alignment horizontal="left" vertical="center"/>
    </xf>
    <xf numFmtId="0" fontId="75" fillId="0" borderId="13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10" fillId="35" borderId="23" xfId="0" applyFont="1" applyFill="1" applyBorder="1" applyAlignment="1">
      <alignment horizontal="center" wrapText="1"/>
    </xf>
    <xf numFmtId="0" fontId="11" fillId="0" borderId="5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7" fillId="33" borderId="58" xfId="0" applyFont="1" applyFill="1" applyBorder="1" applyAlignment="1">
      <alignment horizontal="center" vertical="center"/>
    </xf>
    <xf numFmtId="0" fontId="17" fillId="33" borderId="36" xfId="0" applyFont="1" applyFill="1" applyBorder="1" applyAlignment="1">
      <alignment horizontal="center" vertical="center"/>
    </xf>
    <xf numFmtId="0" fontId="17" fillId="33" borderId="33" xfId="0" applyFont="1" applyFill="1" applyBorder="1" applyAlignment="1">
      <alignment horizontal="center" vertical="center" wrapText="1"/>
    </xf>
    <xf numFmtId="0" fontId="17" fillId="33" borderId="34" xfId="0" applyFont="1" applyFill="1" applyBorder="1" applyAlignment="1">
      <alignment horizontal="center" vertical="center" wrapText="1"/>
    </xf>
    <xf numFmtId="0" fontId="18" fillId="33" borderId="33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4" fontId="2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7" xfId="61" applyNumberFormat="1" applyFont="1" applyBorder="1" applyAlignment="1">
      <alignment horizontal="left" vertical="center"/>
    </xf>
    <xf numFmtId="0" fontId="16" fillId="0" borderId="0" xfId="61" applyNumberFormat="1" applyFont="1" applyBorder="1" applyAlignment="1">
      <alignment horizontal="left" vertical="center"/>
    </xf>
    <xf numFmtId="0" fontId="24" fillId="0" borderId="0" xfId="61" applyNumberFormat="1" applyFont="1" applyBorder="1" applyAlignment="1">
      <alignment horizontal="left" vertical="center"/>
    </xf>
    <xf numFmtId="175" fontId="21" fillId="0" borderId="34" xfId="0" applyNumberFormat="1" applyFont="1" applyBorder="1" applyAlignment="1">
      <alignment horizontal="center" vertical="center"/>
    </xf>
    <xf numFmtId="175" fontId="21" fillId="0" borderId="34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/>
    </xf>
    <xf numFmtId="0" fontId="15" fillId="0" borderId="31" xfId="0" applyNumberFormat="1" applyFont="1" applyBorder="1" applyAlignment="1">
      <alignment horizontal="left" vertical="center" wrapText="1"/>
    </xf>
    <xf numFmtId="0" fontId="15" fillId="0" borderId="0" xfId="0" applyNumberFormat="1" applyFont="1" applyBorder="1" applyAlignment="1">
      <alignment horizontal="left" vertical="center" wrapText="1"/>
    </xf>
    <xf numFmtId="0" fontId="15" fillId="0" borderId="19" xfId="0" applyNumberFormat="1" applyFont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19" xfId="0" applyFont="1" applyBorder="1" applyAlignment="1">
      <alignment horizontal="left" vertical="center"/>
    </xf>
    <xf numFmtId="0" fontId="76" fillId="0" borderId="0" xfId="0" applyFont="1" applyAlignment="1">
      <alignment vertical="center"/>
    </xf>
    <xf numFmtId="0" fontId="9" fillId="0" borderId="60" xfId="0" applyNumberFormat="1" applyFont="1" applyFill="1" applyBorder="1" applyAlignment="1">
      <alignment horizontal="center" vertical="center"/>
    </xf>
    <xf numFmtId="0" fontId="1" fillId="0" borderId="43" xfId="48" applyFont="1" applyFill="1" applyBorder="1" applyAlignment="1">
      <alignment vertical="center" wrapText="1"/>
      <protection/>
    </xf>
    <xf numFmtId="4" fontId="9" fillId="0" borderId="40" xfId="0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 vertical="center" wrapText="1"/>
    </xf>
    <xf numFmtId="0" fontId="48" fillId="0" borderId="42" xfId="48" applyFont="1" applyFill="1" applyBorder="1" applyAlignment="1">
      <alignment vertical="center" wrapText="1"/>
      <protection/>
    </xf>
    <xf numFmtId="0" fontId="9" fillId="0" borderId="61" xfId="0" applyNumberFormat="1" applyFont="1" applyFill="1" applyBorder="1" applyAlignment="1">
      <alignment horizontal="center" vertical="center"/>
    </xf>
    <xf numFmtId="0" fontId="44" fillId="0" borderId="62" xfId="0" applyNumberFormat="1" applyFont="1" applyFill="1" applyBorder="1" applyAlignment="1">
      <alignment horizontal="center" vertical="center"/>
    </xf>
    <xf numFmtId="0" fontId="7" fillId="0" borderId="62" xfId="0" applyFont="1" applyBorder="1" applyAlignment="1">
      <alignment vertical="center" wrapText="1"/>
    </xf>
    <xf numFmtId="0" fontId="9" fillId="0" borderId="62" xfId="0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right" vertical="center"/>
    </xf>
    <xf numFmtId="43" fontId="9" fillId="0" borderId="63" xfId="45" applyNumberFormat="1" applyFont="1" applyFill="1" applyBorder="1" applyAlignment="1">
      <alignment vertical="center"/>
    </xf>
    <xf numFmtId="0" fontId="9" fillId="0" borderId="64" xfId="0" applyNumberFormat="1" applyFont="1" applyFill="1" applyBorder="1" applyAlignment="1">
      <alignment horizontal="center" vertical="center"/>
    </xf>
    <xf numFmtId="0" fontId="44" fillId="0" borderId="65" xfId="0" applyNumberFormat="1" applyFont="1" applyFill="1" applyBorder="1" applyAlignment="1">
      <alignment horizontal="center" vertical="center"/>
    </xf>
    <xf numFmtId="0" fontId="7" fillId="0" borderId="65" xfId="0" applyFont="1" applyBorder="1" applyAlignment="1">
      <alignment vertical="center" wrapText="1"/>
    </xf>
    <xf numFmtId="0" fontId="9" fillId="0" borderId="65" xfId="0" applyFont="1" applyBorder="1" applyAlignment="1">
      <alignment horizontal="center" vertical="center"/>
    </xf>
    <xf numFmtId="4" fontId="9" fillId="0" borderId="65" xfId="0" applyNumberFormat="1" applyFont="1" applyBorder="1" applyAlignment="1">
      <alignment horizontal="right" vertical="center"/>
    </xf>
    <xf numFmtId="43" fontId="9" fillId="0" borderId="66" xfId="45" applyNumberFormat="1" applyFont="1" applyFill="1" applyBorder="1" applyAlignment="1">
      <alignment vertical="center"/>
    </xf>
    <xf numFmtId="0" fontId="1" fillId="0" borderId="65" xfId="48" applyFont="1" applyFill="1" applyBorder="1" applyAlignment="1">
      <alignment vertical="center" wrapText="1"/>
      <protection/>
    </xf>
    <xf numFmtId="4" fontId="9" fillId="0" borderId="65" xfId="0" applyNumberFormat="1" applyFont="1" applyFill="1" applyBorder="1" applyAlignment="1">
      <alignment horizontal="right" vertical="center"/>
    </xf>
    <xf numFmtId="0" fontId="7" fillId="0" borderId="65" xfId="0" applyFont="1" applyBorder="1" applyAlignment="1">
      <alignment vertical="center"/>
    </xf>
    <xf numFmtId="0" fontId="9" fillId="0" borderId="67" xfId="0" applyNumberFormat="1" applyFont="1" applyFill="1" applyBorder="1" applyAlignment="1">
      <alignment horizontal="center" vertical="center"/>
    </xf>
    <xf numFmtId="0" fontId="44" fillId="0" borderId="68" xfId="0" applyNumberFormat="1" applyFont="1" applyFill="1" applyBorder="1" applyAlignment="1">
      <alignment horizontal="center" vertical="center"/>
    </xf>
    <xf numFmtId="0" fontId="7" fillId="0" borderId="68" xfId="0" applyFont="1" applyBorder="1" applyAlignment="1">
      <alignment vertical="center" wrapText="1"/>
    </xf>
    <xf numFmtId="0" fontId="9" fillId="0" borderId="68" xfId="0" applyFont="1" applyBorder="1" applyAlignment="1">
      <alignment horizontal="center" vertical="center"/>
    </xf>
    <xf numFmtId="4" fontId="9" fillId="0" borderId="68" xfId="0" applyNumberFormat="1" applyFont="1" applyBorder="1" applyAlignment="1">
      <alignment horizontal="right" vertical="center"/>
    </xf>
    <xf numFmtId="43" fontId="9" fillId="0" borderId="69" xfId="45" applyNumberFormat="1" applyFont="1" applyFill="1" applyBorder="1" applyAlignment="1">
      <alignment vertical="center"/>
    </xf>
    <xf numFmtId="173" fontId="43" fillId="8" borderId="70" xfId="0" applyNumberFormat="1" applyFont="1" applyFill="1" applyBorder="1" applyAlignment="1">
      <alignment horizontal="center" vertical="center"/>
    </xf>
    <xf numFmtId="173" fontId="43" fillId="8" borderId="71" xfId="0" applyNumberFormat="1" applyFont="1" applyFill="1" applyBorder="1" applyAlignment="1">
      <alignment horizontal="center" vertical="center"/>
    </xf>
    <xf numFmtId="43" fontId="6" fillId="8" borderId="72" xfId="61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1" fontId="20" fillId="0" borderId="34" xfId="0" applyNumberFormat="1" applyFont="1" applyFill="1" applyBorder="1" applyAlignment="1">
      <alignment horizontal="center" vertical="center"/>
    </xf>
    <xf numFmtId="181" fontId="20" fillId="0" borderId="34" xfId="0" applyNumberFormat="1" applyFont="1" applyBorder="1" applyAlignment="1">
      <alignment horizontal="center" vertical="center"/>
    </xf>
    <xf numFmtId="181" fontId="66" fillId="8" borderId="41" xfId="0" applyNumberFormat="1" applyFont="1" applyFill="1" applyBorder="1" applyAlignment="1">
      <alignment horizontal="right" vertical="center"/>
    </xf>
    <xf numFmtId="4" fontId="66" fillId="8" borderId="0" xfId="0" applyNumberFormat="1" applyFont="1" applyFill="1" applyBorder="1" applyAlignment="1">
      <alignment horizontal="right" vertical="center"/>
    </xf>
    <xf numFmtId="183" fontId="66" fillId="8" borderId="41" xfId="0" applyNumberFormat="1" applyFont="1" applyFill="1" applyBorder="1" applyAlignment="1">
      <alignment horizontal="right" vertical="center"/>
    </xf>
    <xf numFmtId="0" fontId="77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200025</xdr:rowOff>
    </xdr:from>
    <xdr:to>
      <xdr:col>3</xdr:col>
      <xdr:colOff>123825</xdr:colOff>
      <xdr:row>6</xdr:row>
      <xdr:rowOff>352425</xdr:rowOff>
    </xdr:to>
    <xdr:pic>
      <xdr:nvPicPr>
        <xdr:cNvPr id="1" name="Imagem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38150"/>
          <a:ext cx="10096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4</xdr:row>
      <xdr:rowOff>9525</xdr:rowOff>
    </xdr:from>
    <xdr:to>
      <xdr:col>2</xdr:col>
      <xdr:colOff>1514475</xdr:colOff>
      <xdr:row>9</xdr:row>
      <xdr:rowOff>38100</xdr:rowOff>
    </xdr:to>
    <xdr:pic>
      <xdr:nvPicPr>
        <xdr:cNvPr id="1" name="Imagem 1" descr="ActiveRepor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257300"/>
          <a:ext cx="1428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J&#212;NATAS\ENG%20JONATAS\PROCESSOS%20-%202018\1806%20-%20Sala%20Fisioterapia%20Secr.%20Sa&#250;de\1806%20-%20Or&#231;amento%20Sala%20Fisioterapia%20-%20rev%20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FIS. X FIN. licitação"/>
      <sheetName val="Plan1"/>
    </sheetNames>
    <sheetDataSet>
      <sheetData sheetId="0">
        <row r="8">
          <cell r="D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5"/>
  <sheetViews>
    <sheetView tabSelected="1" view="pageBreakPreview" zoomScaleSheetLayoutView="100" zoomScalePageLayoutView="0" workbookViewId="0" topLeftCell="A7">
      <selection activeCell="L14" sqref="L14"/>
    </sheetView>
  </sheetViews>
  <sheetFormatPr defaultColWidth="9.140625" defaultRowHeight="15" outlineLevelCol="1"/>
  <cols>
    <col min="1" max="1" width="3.00390625" style="4" customWidth="1"/>
    <col min="2" max="2" width="6.7109375" style="1" customWidth="1"/>
    <col min="3" max="3" width="9.8515625" style="4" customWidth="1"/>
    <col min="4" max="4" width="5.57421875" style="4" customWidth="1"/>
    <col min="5" max="5" width="61.57421875" style="4" customWidth="1"/>
    <col min="6" max="6" width="6.7109375" style="7" customWidth="1"/>
    <col min="7" max="7" width="10.00390625" style="7" customWidth="1"/>
    <col min="8" max="8" width="11.00390625" style="7" customWidth="1"/>
    <col min="9" max="9" width="17.00390625" style="7" customWidth="1"/>
    <col min="10" max="10" width="15.421875" style="4" bestFit="1" customWidth="1"/>
    <col min="11" max="11" width="15.421875" style="4" customWidth="1" outlineLevel="1"/>
    <col min="12" max="12" width="9.140625" style="4" customWidth="1" outlineLevel="1"/>
    <col min="13" max="13" width="12.7109375" style="4" customWidth="1"/>
    <col min="14" max="15" width="14.28125" style="4" customWidth="1"/>
    <col min="16" max="16" width="16.00390625" style="4" bestFit="1" customWidth="1"/>
    <col min="17" max="17" width="15.57421875" style="4" customWidth="1"/>
    <col min="18" max="18" width="14.140625" style="4" bestFit="1" customWidth="1"/>
    <col min="19" max="19" width="20.140625" style="20" bestFit="1" customWidth="1"/>
    <col min="20" max="20" width="13.7109375" style="20" bestFit="1" customWidth="1"/>
    <col min="21" max="16384" width="9.140625" style="4" customWidth="1"/>
  </cols>
  <sheetData>
    <row r="1" ht="18.75" thickBot="1"/>
    <row r="2" spans="2:19" ht="22.5" customHeight="1">
      <c r="B2" s="33"/>
      <c r="C2" s="34"/>
      <c r="D2" s="34"/>
      <c r="E2" s="175" t="s">
        <v>22</v>
      </c>
      <c r="F2" s="176"/>
      <c r="G2" s="176"/>
      <c r="H2" s="176"/>
      <c r="I2" s="177"/>
      <c r="N2"/>
      <c r="O2"/>
      <c r="P2"/>
      <c r="Q2"/>
      <c r="R2"/>
      <c r="S2"/>
    </row>
    <row r="3" spans="2:19" ht="15" customHeight="1">
      <c r="B3" s="35"/>
      <c r="C3" s="18"/>
      <c r="D3" s="18"/>
      <c r="E3" s="178" t="s">
        <v>23</v>
      </c>
      <c r="F3" s="179"/>
      <c r="G3" s="179"/>
      <c r="H3" s="179"/>
      <c r="I3" s="180"/>
      <c r="N3"/>
      <c r="O3"/>
      <c r="P3"/>
      <c r="Q3"/>
      <c r="R3"/>
      <c r="S3"/>
    </row>
    <row r="4" spans="2:19" ht="17.25" customHeight="1">
      <c r="B4" s="35"/>
      <c r="C4" s="28"/>
      <c r="D4" s="28"/>
      <c r="E4" s="27" t="s">
        <v>21</v>
      </c>
      <c r="F4" s="28"/>
      <c r="G4" s="181" t="s">
        <v>74</v>
      </c>
      <c r="H4" s="181"/>
      <c r="I4" s="182"/>
      <c r="N4"/>
      <c r="O4"/>
      <c r="P4"/>
      <c r="Q4"/>
      <c r="R4"/>
      <c r="S4"/>
    </row>
    <row r="5" spans="2:19" ht="6.75" customHeight="1">
      <c r="B5" s="35"/>
      <c r="C5" s="18"/>
      <c r="D5" s="18"/>
      <c r="E5" s="29"/>
      <c r="F5" s="9"/>
      <c r="G5" s="9"/>
      <c r="H5" s="9"/>
      <c r="I5" s="36"/>
      <c r="N5"/>
      <c r="O5"/>
      <c r="P5"/>
      <c r="Q5"/>
      <c r="R5"/>
      <c r="S5"/>
    </row>
    <row r="6" spans="2:19" ht="27.75" customHeight="1">
      <c r="B6" s="35"/>
      <c r="C6" s="37"/>
      <c r="D6" s="37"/>
      <c r="E6" s="170" t="s">
        <v>75</v>
      </c>
      <c r="F6" s="171"/>
      <c r="G6" s="171"/>
      <c r="H6" s="171"/>
      <c r="I6" s="144"/>
      <c r="N6"/>
      <c r="O6"/>
      <c r="P6"/>
      <c r="Q6"/>
      <c r="R6"/>
      <c r="S6"/>
    </row>
    <row r="7" spans="2:19" ht="29.25" customHeight="1" thickBot="1">
      <c r="B7" s="35"/>
      <c r="C7" s="37"/>
      <c r="D7" s="37"/>
      <c r="E7" s="170" t="s">
        <v>76</v>
      </c>
      <c r="F7" s="171"/>
      <c r="G7" s="171"/>
      <c r="H7" s="171"/>
      <c r="I7" s="36"/>
      <c r="N7"/>
      <c r="O7"/>
      <c r="P7"/>
      <c r="Q7"/>
      <c r="R7"/>
      <c r="S7"/>
    </row>
    <row r="8" spans="2:19" s="1" customFormat="1" ht="27" customHeight="1" thickBot="1">
      <c r="B8" s="38"/>
      <c r="C8" s="39"/>
      <c r="D8" s="39"/>
      <c r="E8" s="30"/>
      <c r="F8" s="31"/>
      <c r="G8" s="32"/>
      <c r="H8" s="173" t="s">
        <v>96</v>
      </c>
      <c r="I8" s="174"/>
      <c r="J8" s="3">
        <v>1.27</v>
      </c>
      <c r="K8" s="3"/>
      <c r="N8"/>
      <c r="O8"/>
      <c r="P8"/>
      <c r="Q8"/>
      <c r="R8"/>
      <c r="S8"/>
    </row>
    <row r="9" spans="2:19" s="1" customFormat="1" ht="15.75" customHeight="1" thickBot="1">
      <c r="B9" s="52" t="s">
        <v>11</v>
      </c>
      <c r="C9" s="53" t="s">
        <v>1</v>
      </c>
      <c r="D9" s="53"/>
      <c r="E9" s="53" t="s">
        <v>10</v>
      </c>
      <c r="F9" s="54" t="s">
        <v>12</v>
      </c>
      <c r="G9" s="55" t="s">
        <v>0</v>
      </c>
      <c r="H9" s="56" t="s">
        <v>14</v>
      </c>
      <c r="I9" s="57" t="s">
        <v>13</v>
      </c>
      <c r="J9" s="250" t="s">
        <v>185</v>
      </c>
      <c r="N9"/>
      <c r="O9"/>
      <c r="P9"/>
      <c r="Q9"/>
      <c r="R9"/>
      <c r="S9"/>
    </row>
    <row r="10" spans="1:19" s="1" customFormat="1" ht="6.75" customHeight="1" thickBot="1">
      <c r="A10" s="3"/>
      <c r="B10" s="40"/>
      <c r="C10" s="14"/>
      <c r="D10" s="14"/>
      <c r="E10" s="15"/>
      <c r="F10" s="16"/>
      <c r="G10" s="15"/>
      <c r="H10" s="17"/>
      <c r="I10" s="49"/>
      <c r="J10" s="250"/>
      <c r="N10"/>
      <c r="O10"/>
      <c r="P10"/>
      <c r="Q10"/>
      <c r="R10"/>
      <c r="S10"/>
    </row>
    <row r="11" spans="1:19" s="22" customFormat="1" ht="18" customHeight="1" thickBot="1">
      <c r="A11" s="21"/>
      <c r="B11" s="146">
        <v>1</v>
      </c>
      <c r="C11" s="147"/>
      <c r="D11" s="147"/>
      <c r="E11" s="148" t="s">
        <v>176</v>
      </c>
      <c r="F11" s="149"/>
      <c r="G11" s="150"/>
      <c r="H11" s="150"/>
      <c r="I11" s="151"/>
      <c r="J11" s="250"/>
      <c r="K11" s="21"/>
      <c r="N11"/>
      <c r="O11"/>
      <c r="P11"/>
      <c r="Q11"/>
      <c r="R11"/>
      <c r="S11"/>
    </row>
    <row r="12" spans="1:19" s="22" customFormat="1" ht="15" customHeight="1" thickBot="1">
      <c r="A12" s="21"/>
      <c r="B12" s="115"/>
      <c r="C12" s="116"/>
      <c r="D12" s="116"/>
      <c r="E12" s="117" t="s">
        <v>70</v>
      </c>
      <c r="F12" s="118"/>
      <c r="G12" s="119"/>
      <c r="H12" s="119"/>
      <c r="I12" s="157">
        <f>ROUND(SUM(I13:I23),2)</f>
        <v>38308.75</v>
      </c>
      <c r="J12" s="244" t="s">
        <v>184</v>
      </c>
      <c r="K12" s="172" t="s">
        <v>91</v>
      </c>
      <c r="L12" s="172"/>
      <c r="M12" s="156"/>
      <c r="N12"/>
      <c r="O12"/>
      <c r="P12"/>
      <c r="Q12"/>
      <c r="R12"/>
      <c r="S12"/>
    </row>
    <row r="13" spans="1:20" ht="15">
      <c r="A13" s="24"/>
      <c r="B13" s="220" t="s">
        <v>2</v>
      </c>
      <c r="C13" s="221" t="s">
        <v>65</v>
      </c>
      <c r="D13" s="221" t="s">
        <v>72</v>
      </c>
      <c r="E13" s="222" t="s">
        <v>64</v>
      </c>
      <c r="F13" s="223" t="s">
        <v>3</v>
      </c>
      <c r="G13" s="224">
        <v>6</v>
      </c>
      <c r="H13" s="224">
        <f>ROUND(J13*$J$8,2)</f>
        <v>620.43</v>
      </c>
      <c r="I13" s="225">
        <f aca="true" t="shared" si="0" ref="I13:I23">ROUND(H13*G13,2)</f>
        <v>3722.58</v>
      </c>
      <c r="J13" s="155">
        <v>488.53</v>
      </c>
      <c r="K13" s="152"/>
      <c r="M13" s="168"/>
      <c r="N13"/>
      <c r="O13"/>
      <c r="P13"/>
      <c r="Q13"/>
      <c r="R13"/>
      <c r="S13"/>
      <c r="T13" s="4"/>
    </row>
    <row r="14" spans="1:20" ht="15">
      <c r="A14" s="24"/>
      <c r="B14" s="226" t="s">
        <v>4</v>
      </c>
      <c r="C14" s="227" t="s">
        <v>120</v>
      </c>
      <c r="D14" s="227" t="s">
        <v>72</v>
      </c>
      <c r="E14" s="228" t="s">
        <v>119</v>
      </c>
      <c r="F14" s="229" t="s">
        <v>71</v>
      </c>
      <c r="G14" s="230">
        <v>30</v>
      </c>
      <c r="H14" s="230">
        <f aca="true" t="shared" si="1" ref="H14:H44">ROUND(J14*$J$8,2)</f>
        <v>1.13</v>
      </c>
      <c r="I14" s="231">
        <f t="shared" si="0"/>
        <v>33.9</v>
      </c>
      <c r="J14" s="155">
        <v>0.89</v>
      </c>
      <c r="K14" s="152"/>
      <c r="M14" s="168"/>
      <c r="N14"/>
      <c r="O14"/>
      <c r="P14"/>
      <c r="Q14"/>
      <c r="R14"/>
      <c r="S14"/>
      <c r="T14" s="4"/>
    </row>
    <row r="15" spans="1:20" ht="38.25">
      <c r="A15" s="24"/>
      <c r="B15" s="226" t="s">
        <v>5</v>
      </c>
      <c r="C15" s="227" t="s">
        <v>28</v>
      </c>
      <c r="D15" s="227" t="s">
        <v>72</v>
      </c>
      <c r="E15" s="228" t="s">
        <v>29</v>
      </c>
      <c r="F15" s="229" t="s">
        <v>3</v>
      </c>
      <c r="G15" s="230">
        <v>150</v>
      </c>
      <c r="H15" s="230">
        <f t="shared" si="1"/>
        <v>3.09</v>
      </c>
      <c r="I15" s="231">
        <f t="shared" si="0"/>
        <v>463.5</v>
      </c>
      <c r="J15" s="155">
        <v>2.43</v>
      </c>
      <c r="K15" s="152">
        <f>30*5</f>
        <v>150</v>
      </c>
      <c r="L15" s="4" t="s">
        <v>77</v>
      </c>
      <c r="M15" s="168"/>
      <c r="N15"/>
      <c r="O15"/>
      <c r="P15"/>
      <c r="Q15"/>
      <c r="R15"/>
      <c r="S15"/>
      <c r="T15" s="4"/>
    </row>
    <row r="16" spans="1:20" ht="15">
      <c r="A16" s="24"/>
      <c r="B16" s="226" t="s">
        <v>31</v>
      </c>
      <c r="C16" s="227" t="s">
        <v>100</v>
      </c>
      <c r="D16" s="227" t="s">
        <v>72</v>
      </c>
      <c r="E16" s="228" t="s">
        <v>99</v>
      </c>
      <c r="F16" s="229" t="s">
        <v>71</v>
      </c>
      <c r="G16" s="230">
        <v>38</v>
      </c>
      <c r="H16" s="230">
        <f t="shared" si="1"/>
        <v>16.33</v>
      </c>
      <c r="I16" s="231">
        <f t="shared" si="0"/>
        <v>620.54</v>
      </c>
      <c r="J16" s="155">
        <v>12.86</v>
      </c>
      <c r="K16" s="152">
        <f>30+4+4</f>
        <v>38</v>
      </c>
      <c r="M16" s="168"/>
      <c r="N16"/>
      <c r="O16"/>
      <c r="P16"/>
      <c r="Q16"/>
      <c r="R16"/>
      <c r="S16"/>
      <c r="T16" s="4"/>
    </row>
    <row r="17" spans="1:26" s="22" customFormat="1" ht="45">
      <c r="A17" s="24"/>
      <c r="B17" s="226" t="s">
        <v>32</v>
      </c>
      <c r="C17" s="227" t="s">
        <v>39</v>
      </c>
      <c r="D17" s="227" t="s">
        <v>72</v>
      </c>
      <c r="E17" s="232" t="s">
        <v>36</v>
      </c>
      <c r="F17" s="229" t="s">
        <v>3</v>
      </c>
      <c r="G17" s="233">
        <v>120</v>
      </c>
      <c r="H17" s="230">
        <f t="shared" si="1"/>
        <v>21.54</v>
      </c>
      <c r="I17" s="231">
        <f t="shared" si="0"/>
        <v>2584.8</v>
      </c>
      <c r="J17" s="155">
        <v>16.96</v>
      </c>
      <c r="K17" s="152">
        <f>30*4</f>
        <v>120</v>
      </c>
      <c r="L17" s="22" t="s">
        <v>78</v>
      </c>
      <c r="M17" s="168"/>
      <c r="N17"/>
      <c r="O17"/>
      <c r="P17"/>
      <c r="Q17"/>
      <c r="R17"/>
      <c r="S17"/>
      <c r="T17" s="25"/>
      <c r="U17" s="25"/>
      <c r="V17" s="25"/>
      <c r="W17" s="25"/>
      <c r="X17" s="25"/>
      <c r="Y17" s="25"/>
      <c r="Z17" s="25"/>
    </row>
    <row r="18" spans="1:26" s="22" customFormat="1" ht="15">
      <c r="A18" s="24"/>
      <c r="B18" s="226" t="s">
        <v>33</v>
      </c>
      <c r="C18" s="227" t="s">
        <v>79</v>
      </c>
      <c r="D18" s="227" t="s">
        <v>72</v>
      </c>
      <c r="E18" s="232" t="s">
        <v>82</v>
      </c>
      <c r="F18" s="229" t="s">
        <v>6</v>
      </c>
      <c r="G18" s="233">
        <v>3.15</v>
      </c>
      <c r="H18" s="230">
        <f t="shared" si="1"/>
        <v>188.6</v>
      </c>
      <c r="I18" s="231">
        <f t="shared" si="0"/>
        <v>594.09</v>
      </c>
      <c r="J18" s="155">
        <v>148.5</v>
      </c>
      <c r="K18" s="152">
        <f>30*1.5*0.07</f>
        <v>3.1500000000000004</v>
      </c>
      <c r="L18" s="22" t="s">
        <v>85</v>
      </c>
      <c r="M18" s="168"/>
      <c r="N18"/>
      <c r="O18"/>
      <c r="P18"/>
      <c r="Q18"/>
      <c r="R18"/>
      <c r="S18"/>
      <c r="T18" s="25"/>
      <c r="U18" s="25"/>
      <c r="V18" s="25"/>
      <c r="W18" s="25"/>
      <c r="X18" s="25"/>
      <c r="Y18" s="25"/>
      <c r="Z18" s="25"/>
    </row>
    <row r="19" spans="1:26" s="22" customFormat="1" ht="45">
      <c r="A19" s="24"/>
      <c r="B19" s="226" t="s">
        <v>42</v>
      </c>
      <c r="C19" s="227" t="s">
        <v>81</v>
      </c>
      <c r="D19" s="227" t="s">
        <v>72</v>
      </c>
      <c r="E19" s="232" t="s">
        <v>80</v>
      </c>
      <c r="F19" s="229" t="s">
        <v>6</v>
      </c>
      <c r="G19" s="233">
        <v>1.8</v>
      </c>
      <c r="H19" s="230">
        <f t="shared" si="1"/>
        <v>244.93</v>
      </c>
      <c r="I19" s="231">
        <f t="shared" si="0"/>
        <v>440.87</v>
      </c>
      <c r="J19" s="155">
        <v>192.86</v>
      </c>
      <c r="K19" s="152">
        <f>30*0.4*0.15</f>
        <v>1.7999999999999998</v>
      </c>
      <c r="M19" s="168"/>
      <c r="N19"/>
      <c r="O19"/>
      <c r="P19"/>
      <c r="Q19"/>
      <c r="R19"/>
      <c r="S19"/>
      <c r="T19" s="25"/>
      <c r="U19" s="25"/>
      <c r="V19" s="25"/>
      <c r="W19" s="25"/>
      <c r="X19" s="25"/>
      <c r="Y19" s="25"/>
      <c r="Z19" s="25"/>
    </row>
    <row r="20" spans="1:26" s="22" customFormat="1" ht="30">
      <c r="A20" s="24"/>
      <c r="B20" s="226" t="s">
        <v>43</v>
      </c>
      <c r="C20" s="227" t="s">
        <v>84</v>
      </c>
      <c r="D20" s="227" t="s">
        <v>72</v>
      </c>
      <c r="E20" s="232" t="s">
        <v>83</v>
      </c>
      <c r="F20" s="229" t="s">
        <v>71</v>
      </c>
      <c r="G20" s="233">
        <v>30</v>
      </c>
      <c r="H20" s="230">
        <f t="shared" si="1"/>
        <v>6.86</v>
      </c>
      <c r="I20" s="231">
        <f t="shared" si="0"/>
        <v>205.8</v>
      </c>
      <c r="J20" s="155">
        <v>5.4</v>
      </c>
      <c r="K20" s="152"/>
      <c r="M20" s="168"/>
      <c r="N20"/>
      <c r="O20"/>
      <c r="P20"/>
      <c r="Q20"/>
      <c r="R20"/>
      <c r="S20"/>
      <c r="T20" s="25"/>
      <c r="U20" s="25"/>
      <c r="V20" s="25"/>
      <c r="W20" s="25"/>
      <c r="X20" s="25"/>
      <c r="Y20" s="25"/>
      <c r="Z20" s="25"/>
    </row>
    <row r="21" spans="1:20" ht="25.5">
      <c r="A21" s="23"/>
      <c r="B21" s="226" t="s">
        <v>113</v>
      </c>
      <c r="C21" s="227" t="s">
        <v>116</v>
      </c>
      <c r="D21" s="227" t="s">
        <v>72</v>
      </c>
      <c r="E21" s="228" t="s">
        <v>117</v>
      </c>
      <c r="F21" s="234" t="s">
        <v>8</v>
      </c>
      <c r="G21" s="230">
        <v>642.45</v>
      </c>
      <c r="H21" s="230">
        <f t="shared" si="1"/>
        <v>13.5</v>
      </c>
      <c r="I21" s="231">
        <f t="shared" si="0"/>
        <v>8673.08</v>
      </c>
      <c r="J21" s="155">
        <v>10.63</v>
      </c>
      <c r="K21" s="121">
        <f>G15*0.3+G17*0.15+G18+G19+(G22-G23)</f>
        <v>642.4499999999999</v>
      </c>
      <c r="M21" s="168"/>
      <c r="N21"/>
      <c r="O21"/>
      <c r="P21"/>
      <c r="Q21"/>
      <c r="R21"/>
      <c r="S21"/>
      <c r="T21" s="4"/>
    </row>
    <row r="22" spans="1:20" ht="38.25">
      <c r="A22" s="23"/>
      <c r="B22" s="226" t="s">
        <v>114</v>
      </c>
      <c r="C22" s="227" t="s">
        <v>30</v>
      </c>
      <c r="D22" s="227" t="s">
        <v>72</v>
      </c>
      <c r="E22" s="228" t="s">
        <v>86</v>
      </c>
      <c r="F22" s="229" t="s">
        <v>6</v>
      </c>
      <c r="G22" s="230">
        <v>1136.1</v>
      </c>
      <c r="H22" s="230">
        <f t="shared" si="1"/>
        <v>15.63</v>
      </c>
      <c r="I22" s="231">
        <f t="shared" si="0"/>
        <v>17757.24</v>
      </c>
      <c r="J22" s="155">
        <v>12.31</v>
      </c>
      <c r="K22" s="152">
        <f>(18.72+19.15)*30</f>
        <v>1136.1</v>
      </c>
      <c r="L22" s="4" t="s">
        <v>87</v>
      </c>
      <c r="M22" s="168"/>
      <c r="N22"/>
      <c r="O22"/>
      <c r="P22"/>
      <c r="Q22"/>
      <c r="R22"/>
      <c r="S22"/>
      <c r="T22" s="4"/>
    </row>
    <row r="23" spans="1:20" ht="15.75" thickBot="1">
      <c r="A23" s="23"/>
      <c r="B23" s="235" t="s">
        <v>115</v>
      </c>
      <c r="C23" s="236" t="s">
        <v>89</v>
      </c>
      <c r="D23" s="236" t="s">
        <v>72</v>
      </c>
      <c r="E23" s="237" t="s">
        <v>88</v>
      </c>
      <c r="F23" s="238" t="s">
        <v>6</v>
      </c>
      <c r="G23" s="239">
        <v>561.6</v>
      </c>
      <c r="H23" s="239">
        <f t="shared" si="1"/>
        <v>5.72</v>
      </c>
      <c r="I23" s="240">
        <f t="shared" si="0"/>
        <v>3212.35</v>
      </c>
      <c r="J23" s="155">
        <v>4.5</v>
      </c>
      <c r="K23" s="152">
        <f>18.72*30</f>
        <v>561.5999999999999</v>
      </c>
      <c r="L23" s="121" t="s">
        <v>90</v>
      </c>
      <c r="M23" s="168"/>
      <c r="N23"/>
      <c r="O23"/>
      <c r="P23"/>
      <c r="Q23"/>
      <c r="R23"/>
      <c r="S23"/>
      <c r="T23" s="4"/>
    </row>
    <row r="24" spans="1:19" s="22" customFormat="1" ht="15.75" customHeight="1" thickBot="1">
      <c r="A24" s="21"/>
      <c r="B24" s="41"/>
      <c r="C24" s="10"/>
      <c r="D24" s="10"/>
      <c r="E24" s="11" t="s">
        <v>9</v>
      </c>
      <c r="F24" s="12"/>
      <c r="G24" s="13"/>
      <c r="H24" s="13"/>
      <c r="I24" s="160">
        <f>ROUND(SUM(I25:I27),2)</f>
        <v>365771.61</v>
      </c>
      <c r="J24" s="164"/>
      <c r="K24" s="153"/>
      <c r="M24" s="168"/>
      <c r="N24"/>
      <c r="O24"/>
      <c r="P24"/>
      <c r="Q24"/>
      <c r="R24"/>
      <c r="S24"/>
    </row>
    <row r="25" spans="1:20" ht="15">
      <c r="A25" s="24"/>
      <c r="B25" s="123" t="s">
        <v>133</v>
      </c>
      <c r="C25" s="124" t="s">
        <v>93</v>
      </c>
      <c r="D25" s="124" t="s">
        <v>72</v>
      </c>
      <c r="E25" s="125" t="s">
        <v>92</v>
      </c>
      <c r="F25" s="126" t="s">
        <v>6</v>
      </c>
      <c r="G25" s="127">
        <v>90</v>
      </c>
      <c r="H25" s="132">
        <f t="shared" si="1"/>
        <v>225.83</v>
      </c>
      <c r="I25" s="161">
        <f>ROUND(H25*G25,2)</f>
        <v>20324.7</v>
      </c>
      <c r="J25" s="155">
        <v>177.82</v>
      </c>
      <c r="K25" s="152">
        <f>30*6*0.5</f>
        <v>90</v>
      </c>
      <c r="M25" s="168"/>
      <c r="N25"/>
      <c r="O25"/>
      <c r="P25"/>
      <c r="Q25"/>
      <c r="R25"/>
      <c r="S25"/>
      <c r="T25" s="4"/>
    </row>
    <row r="26" spans="1:26" s="22" customFormat="1" ht="45">
      <c r="A26" s="24"/>
      <c r="B26" s="128" t="s">
        <v>134</v>
      </c>
      <c r="C26" s="129" t="s">
        <v>26</v>
      </c>
      <c r="D26" s="129" t="s">
        <v>72</v>
      </c>
      <c r="E26" s="130" t="s">
        <v>25</v>
      </c>
      <c r="F26" s="131" t="s">
        <v>6</v>
      </c>
      <c r="G26" s="133">
        <v>544.5</v>
      </c>
      <c r="H26" s="132">
        <f t="shared" si="1"/>
        <v>626.3</v>
      </c>
      <c r="I26" s="159">
        <f>ROUND(H26*G26,2)</f>
        <v>341020.35</v>
      </c>
      <c r="J26" s="155">
        <v>493.15</v>
      </c>
      <c r="K26" s="152">
        <f>(0.65*6*30)+(13.5*30)+(7.5*1*3)</f>
        <v>544.5</v>
      </c>
      <c r="L26" s="22" t="s">
        <v>94</v>
      </c>
      <c r="M26" s="168"/>
      <c r="N26"/>
      <c r="O26"/>
      <c r="P26"/>
      <c r="Q26"/>
      <c r="R26"/>
      <c r="S26"/>
      <c r="T26" s="169"/>
      <c r="U26" s="25"/>
      <c r="V26" s="25"/>
      <c r="W26" s="25"/>
      <c r="X26" s="25"/>
      <c r="Y26" s="25"/>
      <c r="Z26" s="25"/>
    </row>
    <row r="27" spans="1:26" s="22" customFormat="1" ht="30.75" thickBot="1">
      <c r="A27" s="24"/>
      <c r="B27" s="128" t="s">
        <v>135</v>
      </c>
      <c r="C27" s="129" t="s">
        <v>175</v>
      </c>
      <c r="D27" s="129" t="s">
        <v>72</v>
      </c>
      <c r="E27" s="130" t="s">
        <v>174</v>
      </c>
      <c r="F27" s="131" t="s">
        <v>3</v>
      </c>
      <c r="G27" s="133">
        <v>288</v>
      </c>
      <c r="H27" s="132">
        <f t="shared" si="1"/>
        <v>15.37</v>
      </c>
      <c r="I27" s="159">
        <f>ROUND(H27*G27,2)</f>
        <v>4426.56</v>
      </c>
      <c r="J27" s="155">
        <v>12.1</v>
      </c>
      <c r="K27" s="152">
        <f>9.6*30</f>
        <v>288</v>
      </c>
      <c r="L27" s="22" t="s">
        <v>95</v>
      </c>
      <c r="M27" s="168"/>
      <c r="N27"/>
      <c r="O27"/>
      <c r="P27"/>
      <c r="Q27"/>
      <c r="R27"/>
      <c r="S27"/>
      <c r="T27" s="25"/>
      <c r="U27" s="25"/>
      <c r="V27" s="25"/>
      <c r="W27" s="25"/>
      <c r="X27" s="25"/>
      <c r="Y27" s="25"/>
      <c r="Z27" s="25"/>
    </row>
    <row r="28" spans="1:26" s="22" customFormat="1" ht="14.25" customHeight="1" thickBot="1">
      <c r="A28" s="24"/>
      <c r="B28" s="41"/>
      <c r="C28" s="26"/>
      <c r="D28" s="26"/>
      <c r="E28" s="11" t="s">
        <v>97</v>
      </c>
      <c r="F28" s="11"/>
      <c r="G28" s="11"/>
      <c r="H28" s="11"/>
      <c r="I28" s="163">
        <f>ROUND(SUM(I29:I31),2)</f>
        <v>1896.56</v>
      </c>
      <c r="J28" s="165"/>
      <c r="K28" s="154"/>
      <c r="M28" s="168"/>
      <c r="N28"/>
      <c r="O28"/>
      <c r="P28"/>
      <c r="Q28"/>
      <c r="R28"/>
      <c r="S28"/>
      <c r="T28" s="25"/>
      <c r="U28" s="25"/>
      <c r="V28" s="25"/>
      <c r="W28" s="25"/>
      <c r="X28" s="25"/>
      <c r="Y28" s="25"/>
      <c r="Z28" s="25"/>
    </row>
    <row r="29" spans="1:26" s="22" customFormat="1" ht="15">
      <c r="A29" s="24"/>
      <c r="B29" s="123" t="s">
        <v>136</v>
      </c>
      <c r="C29" s="124" t="s">
        <v>35</v>
      </c>
      <c r="D29" s="124"/>
      <c r="E29" s="125" t="s">
        <v>98</v>
      </c>
      <c r="F29" s="126" t="s">
        <v>6</v>
      </c>
      <c r="G29" s="127">
        <v>1.8</v>
      </c>
      <c r="H29" s="127">
        <f t="shared" si="1"/>
        <v>144.2</v>
      </c>
      <c r="I29" s="161">
        <f>ROUND(H29*G29,2)</f>
        <v>259.56</v>
      </c>
      <c r="J29" s="155">
        <v>113.54</v>
      </c>
      <c r="K29" s="152">
        <f>(0.4+0.2)*30*0.1</f>
        <v>1.8000000000000005</v>
      </c>
      <c r="M29" s="168"/>
      <c r="N29"/>
      <c r="O29"/>
      <c r="P29"/>
      <c r="Q29"/>
      <c r="R29"/>
      <c r="S29"/>
      <c r="T29" s="25"/>
      <c r="U29" s="25"/>
      <c r="V29" s="25"/>
      <c r="W29" s="25"/>
      <c r="X29" s="25"/>
      <c r="Y29" s="25"/>
      <c r="Z29" s="25"/>
    </row>
    <row r="30" spans="1:26" s="22" customFormat="1" ht="15">
      <c r="A30" s="24"/>
      <c r="B30" s="128" t="s">
        <v>137</v>
      </c>
      <c r="C30" s="129" t="s">
        <v>105</v>
      </c>
      <c r="D30" s="129"/>
      <c r="E30" s="130" t="s">
        <v>104</v>
      </c>
      <c r="F30" s="131" t="s">
        <v>71</v>
      </c>
      <c r="G30" s="133">
        <v>30</v>
      </c>
      <c r="H30" s="132">
        <f t="shared" si="1"/>
        <v>18.2</v>
      </c>
      <c r="I30" s="159">
        <f>G30*H30</f>
        <v>546</v>
      </c>
      <c r="J30" s="166">
        <v>14.33</v>
      </c>
      <c r="K30" s="152"/>
      <c r="M30" s="168"/>
      <c r="N30"/>
      <c r="O30"/>
      <c r="P30"/>
      <c r="Q30"/>
      <c r="R30"/>
      <c r="S30"/>
      <c r="T30" s="25"/>
      <c r="U30" s="25"/>
      <c r="V30" s="25"/>
      <c r="W30" s="25"/>
      <c r="X30" s="25"/>
      <c r="Y30" s="25"/>
      <c r="Z30" s="25"/>
    </row>
    <row r="31" spans="1:26" s="22" customFormat="1" ht="30.75" thickBot="1">
      <c r="A31" s="24"/>
      <c r="B31" s="215" t="s">
        <v>138</v>
      </c>
      <c r="C31" s="134" t="s">
        <v>24</v>
      </c>
      <c r="D31" s="134"/>
      <c r="E31" s="216" t="s">
        <v>66</v>
      </c>
      <c r="F31" s="135" t="s">
        <v>6</v>
      </c>
      <c r="G31" s="137">
        <v>1.8</v>
      </c>
      <c r="H31" s="137">
        <f t="shared" si="1"/>
        <v>606.11</v>
      </c>
      <c r="I31" s="162">
        <f>ROUND(H31*G31,2)</f>
        <v>1091</v>
      </c>
      <c r="J31" s="155">
        <v>477.25</v>
      </c>
      <c r="K31" s="152">
        <f>0.4*0.15*30</f>
        <v>1.7999999999999998</v>
      </c>
      <c r="M31" s="168"/>
      <c r="N31"/>
      <c r="O31"/>
      <c r="P31"/>
      <c r="Q31"/>
      <c r="R31"/>
      <c r="S31"/>
      <c r="T31" s="25"/>
      <c r="U31" s="25"/>
      <c r="V31" s="25"/>
      <c r="W31" s="25"/>
      <c r="X31" s="25"/>
      <c r="Y31" s="25"/>
      <c r="Z31" s="25"/>
    </row>
    <row r="32" spans="1:26" s="22" customFormat="1" ht="15" customHeight="1" thickBot="1">
      <c r="A32" s="24"/>
      <c r="B32" s="41"/>
      <c r="C32" s="10"/>
      <c r="D32" s="10"/>
      <c r="E32" s="11" t="s">
        <v>103</v>
      </c>
      <c r="F32" s="12"/>
      <c r="G32" s="13"/>
      <c r="H32" s="13"/>
      <c r="I32" s="160">
        <f>ROUND(SUM(I33:I44),2)</f>
        <v>26814.56</v>
      </c>
      <c r="J32" s="249">
        <f>I32/I45</f>
        <v>0.06195722706925747</v>
      </c>
      <c r="K32" s="153"/>
      <c r="M32" s="168"/>
      <c r="N32"/>
      <c r="O32"/>
      <c r="P32"/>
      <c r="Q32"/>
      <c r="R32"/>
      <c r="S32"/>
      <c r="T32" s="25"/>
      <c r="U32" s="25"/>
      <c r="V32" s="25"/>
      <c r="W32" s="25"/>
      <c r="X32" s="25"/>
      <c r="Y32" s="25"/>
      <c r="Z32" s="25"/>
    </row>
    <row r="33" spans="1:26" s="22" customFormat="1" ht="15">
      <c r="A33" s="24"/>
      <c r="B33" s="123" t="s">
        <v>139</v>
      </c>
      <c r="C33" s="124" t="s">
        <v>19</v>
      </c>
      <c r="D33" s="124"/>
      <c r="E33" s="125" t="s">
        <v>27</v>
      </c>
      <c r="F33" s="126" t="s">
        <v>6</v>
      </c>
      <c r="G33" s="217">
        <v>120</v>
      </c>
      <c r="H33" s="127">
        <f>ROUND(J33*$J$8,2)</f>
        <v>15.35</v>
      </c>
      <c r="I33" s="161">
        <f aca="true" t="shared" si="2" ref="I33:I38">ROUND(H33*G33,2)</f>
        <v>1842</v>
      </c>
      <c r="J33" s="155">
        <v>12.09</v>
      </c>
      <c r="K33" s="152">
        <f>30*4</f>
        <v>120</v>
      </c>
      <c r="M33" s="168"/>
      <c r="N33"/>
      <c r="O33"/>
      <c r="P33"/>
      <c r="Q33"/>
      <c r="R33"/>
      <c r="S33"/>
      <c r="T33" s="25"/>
      <c r="U33" s="25"/>
      <c r="V33" s="25"/>
      <c r="W33" s="25"/>
      <c r="X33" s="25"/>
      <c r="Y33" s="25"/>
      <c r="Z33" s="25"/>
    </row>
    <row r="34" spans="1:26" s="22" customFormat="1" ht="15">
      <c r="A34" s="24"/>
      <c r="B34" s="128" t="s">
        <v>140</v>
      </c>
      <c r="C34" s="129" t="s">
        <v>35</v>
      </c>
      <c r="D34" s="129"/>
      <c r="E34" s="130" t="s">
        <v>34</v>
      </c>
      <c r="F34" s="131" t="s">
        <v>6</v>
      </c>
      <c r="G34" s="132">
        <v>18</v>
      </c>
      <c r="H34" s="132">
        <f>ROUND(J34*$J$8,2)</f>
        <v>144.2</v>
      </c>
      <c r="I34" s="159">
        <f t="shared" si="2"/>
        <v>2595.6</v>
      </c>
      <c r="J34" s="155">
        <v>113.54</v>
      </c>
      <c r="K34" s="152">
        <f>G33*0.15</f>
        <v>18</v>
      </c>
      <c r="M34" s="168"/>
      <c r="N34"/>
      <c r="O34"/>
      <c r="P34"/>
      <c r="Q34"/>
      <c r="R34"/>
      <c r="S34"/>
      <c r="T34" s="25"/>
      <c r="U34" s="25"/>
      <c r="V34" s="25"/>
      <c r="W34" s="25"/>
      <c r="X34" s="25"/>
      <c r="Y34" s="25"/>
      <c r="Z34" s="25"/>
    </row>
    <row r="35" spans="1:26" s="22" customFormat="1" ht="15">
      <c r="A35" s="24"/>
      <c r="B35" s="128" t="s">
        <v>141</v>
      </c>
      <c r="C35" s="129" t="s">
        <v>102</v>
      </c>
      <c r="D35" s="129"/>
      <c r="E35" s="130" t="s">
        <v>101</v>
      </c>
      <c r="F35" s="131" t="s">
        <v>6</v>
      </c>
      <c r="G35" s="132">
        <v>24</v>
      </c>
      <c r="H35" s="132">
        <f>ROUND(J35*$J$8,2)</f>
        <v>178.12</v>
      </c>
      <c r="I35" s="159">
        <f t="shared" si="2"/>
        <v>4274.88</v>
      </c>
      <c r="J35" s="155">
        <v>140.25</v>
      </c>
      <c r="K35" s="152">
        <f>G33*0.2</f>
        <v>24</v>
      </c>
      <c r="M35" s="168"/>
      <c r="N35"/>
      <c r="O35"/>
      <c r="P35"/>
      <c r="Q35"/>
      <c r="R35"/>
      <c r="S35"/>
      <c r="T35" s="25"/>
      <c r="U35" s="25"/>
      <c r="V35" s="25"/>
      <c r="W35" s="25"/>
      <c r="X35" s="25"/>
      <c r="Y35" s="25"/>
      <c r="Z35" s="25"/>
    </row>
    <row r="36" spans="1:26" s="22" customFormat="1" ht="15">
      <c r="A36" s="24"/>
      <c r="B36" s="128" t="s">
        <v>142</v>
      </c>
      <c r="C36" s="129" t="s">
        <v>15</v>
      </c>
      <c r="D36" s="129"/>
      <c r="E36" s="130" t="s">
        <v>37</v>
      </c>
      <c r="F36" s="131" t="s">
        <v>3</v>
      </c>
      <c r="G36" s="133">
        <v>240</v>
      </c>
      <c r="H36" s="132">
        <f>ROUND(J36*$J$8,2)</f>
        <v>5.8</v>
      </c>
      <c r="I36" s="159">
        <f t="shared" si="2"/>
        <v>1392</v>
      </c>
      <c r="J36" s="155">
        <v>4.57</v>
      </c>
      <c r="K36" s="152">
        <f>G37*2</f>
        <v>240</v>
      </c>
      <c r="M36" s="168"/>
      <c r="N36"/>
      <c r="O36"/>
      <c r="P36"/>
      <c r="Q36"/>
      <c r="R36"/>
      <c r="S36"/>
      <c r="T36" s="25"/>
      <c r="U36" s="25"/>
      <c r="V36" s="25"/>
      <c r="W36" s="25"/>
      <c r="X36" s="25"/>
      <c r="Y36" s="25"/>
      <c r="Z36" s="25"/>
    </row>
    <row r="37" spans="1:26" s="22" customFormat="1" ht="15">
      <c r="A37" s="24"/>
      <c r="B37" s="128" t="s">
        <v>143</v>
      </c>
      <c r="C37" s="129" t="s">
        <v>16</v>
      </c>
      <c r="D37" s="129"/>
      <c r="E37" s="130" t="s">
        <v>38</v>
      </c>
      <c r="F37" s="131" t="s">
        <v>3</v>
      </c>
      <c r="G37" s="133">
        <v>120</v>
      </c>
      <c r="H37" s="132">
        <f>ROUND(J37*$J$8,2)</f>
        <v>13.94</v>
      </c>
      <c r="I37" s="159">
        <f t="shared" si="2"/>
        <v>1672.8</v>
      </c>
      <c r="J37" s="155">
        <v>10.98</v>
      </c>
      <c r="K37" s="152">
        <f>G33</f>
        <v>120</v>
      </c>
      <c r="L37" s="19"/>
      <c r="M37" s="168"/>
      <c r="N37"/>
      <c r="O37"/>
      <c r="P37"/>
      <c r="Q37"/>
      <c r="R37"/>
      <c r="S37"/>
      <c r="T37" s="25"/>
      <c r="U37" s="25"/>
      <c r="V37" s="25"/>
      <c r="W37" s="25"/>
      <c r="X37" s="25"/>
      <c r="Y37" s="25"/>
      <c r="Z37" s="25"/>
    </row>
    <row r="38" spans="1:26" s="22" customFormat="1" ht="15">
      <c r="A38" s="24"/>
      <c r="B38" s="128" t="s">
        <v>144</v>
      </c>
      <c r="C38" s="129" t="s">
        <v>18</v>
      </c>
      <c r="D38" s="129"/>
      <c r="E38" s="130" t="s">
        <v>63</v>
      </c>
      <c r="F38" s="131" t="s">
        <v>6</v>
      </c>
      <c r="G38" s="133">
        <v>6</v>
      </c>
      <c r="H38" s="132">
        <f>ROUND(J38*$J$8,2)</f>
        <v>1073.8</v>
      </c>
      <c r="I38" s="159">
        <f t="shared" si="2"/>
        <v>6442.8</v>
      </c>
      <c r="J38" s="155">
        <v>845.51</v>
      </c>
      <c r="K38" s="152">
        <f>G33*0.05</f>
        <v>6</v>
      </c>
      <c r="M38" s="168"/>
      <c r="N38"/>
      <c r="O38"/>
      <c r="P38"/>
      <c r="Q38"/>
      <c r="R38"/>
      <c r="S38"/>
      <c r="T38" s="25"/>
      <c r="U38" s="25"/>
      <c r="V38" s="25"/>
      <c r="W38" s="25"/>
      <c r="X38" s="25"/>
      <c r="Y38" s="25"/>
      <c r="Z38" s="25"/>
    </row>
    <row r="39" spans="1:26" s="22" customFormat="1" ht="30">
      <c r="A39" s="24"/>
      <c r="B39" s="128" t="s">
        <v>145</v>
      </c>
      <c r="C39" s="129" t="s">
        <v>17</v>
      </c>
      <c r="D39" s="129"/>
      <c r="E39" s="130" t="s">
        <v>62</v>
      </c>
      <c r="F39" s="131" t="s">
        <v>6</v>
      </c>
      <c r="G39" s="133">
        <v>4.8</v>
      </c>
      <c r="H39" s="132">
        <f>ROUND(J39*$J$8,2)</f>
        <v>1161.88</v>
      </c>
      <c r="I39" s="159">
        <f>ROUND(H39*G39,2)</f>
        <v>5577.02</v>
      </c>
      <c r="J39" s="155">
        <v>914.87</v>
      </c>
      <c r="K39" s="152">
        <f>G30*0.04</f>
        <v>1.2</v>
      </c>
      <c r="M39" s="168"/>
      <c r="N39"/>
      <c r="O39"/>
      <c r="P39"/>
      <c r="Q39"/>
      <c r="R39"/>
      <c r="S39"/>
      <c r="T39" s="25"/>
      <c r="U39" s="25"/>
      <c r="V39" s="25"/>
      <c r="W39" s="25"/>
      <c r="X39" s="25"/>
      <c r="Y39" s="25"/>
      <c r="Z39" s="25"/>
    </row>
    <row r="40" spans="1:26" s="22" customFormat="1" ht="15.75">
      <c r="A40" s="24"/>
      <c r="B40" s="128"/>
      <c r="C40" s="129"/>
      <c r="D40" s="129"/>
      <c r="E40" s="219" t="s">
        <v>112</v>
      </c>
      <c r="F40" s="131"/>
      <c r="G40" s="133"/>
      <c r="H40" s="132"/>
      <c r="I40" s="159"/>
      <c r="J40" s="155"/>
      <c r="K40" s="152"/>
      <c r="M40" s="168"/>
      <c r="N40"/>
      <c r="O40"/>
      <c r="P40"/>
      <c r="Q40"/>
      <c r="R40"/>
      <c r="S40"/>
      <c r="T40" s="25"/>
      <c r="U40" s="25"/>
      <c r="V40" s="25"/>
      <c r="W40" s="25"/>
      <c r="X40" s="25"/>
      <c r="Y40" s="25"/>
      <c r="Z40" s="25"/>
    </row>
    <row r="41" spans="1:26" s="22" customFormat="1" ht="15">
      <c r="A41" s="24"/>
      <c r="B41" s="128" t="s">
        <v>146</v>
      </c>
      <c r="C41" s="129" t="s">
        <v>102</v>
      </c>
      <c r="D41" s="129"/>
      <c r="E41" s="130" t="s">
        <v>101</v>
      </c>
      <c r="F41" s="131" t="s">
        <v>6</v>
      </c>
      <c r="G41" s="132">
        <v>2.25</v>
      </c>
      <c r="H41" s="132">
        <f>ROUND(J41*$J$8,2)</f>
        <v>178.12</v>
      </c>
      <c r="I41" s="159">
        <f>ROUND(H41*G41,2)</f>
        <v>400.77</v>
      </c>
      <c r="J41" s="155">
        <v>140.25</v>
      </c>
      <c r="K41" s="152">
        <f>30*1.5*0.05</f>
        <v>2.25</v>
      </c>
      <c r="M41" s="168"/>
      <c r="N41"/>
      <c r="O41"/>
      <c r="P41"/>
      <c r="Q41"/>
      <c r="R41"/>
      <c r="S41"/>
      <c r="T41" s="25"/>
      <c r="U41" s="25"/>
      <c r="V41" s="25"/>
      <c r="W41" s="25"/>
      <c r="X41" s="25"/>
      <c r="Y41" s="25"/>
      <c r="Z41" s="25"/>
    </row>
    <row r="42" spans="1:26" s="22" customFormat="1" ht="15">
      <c r="A42" s="24"/>
      <c r="B42" s="128" t="s">
        <v>147</v>
      </c>
      <c r="C42" s="129" t="s">
        <v>107</v>
      </c>
      <c r="D42" s="129"/>
      <c r="E42" s="130" t="s">
        <v>106</v>
      </c>
      <c r="F42" s="131" t="s">
        <v>3</v>
      </c>
      <c r="G42" s="133">
        <v>3.3</v>
      </c>
      <c r="H42" s="132">
        <f t="shared" si="1"/>
        <v>76.7</v>
      </c>
      <c r="I42" s="159">
        <f>ROUND(H42*G42,2)</f>
        <v>253.11</v>
      </c>
      <c r="J42" s="155">
        <v>60.39</v>
      </c>
      <c r="K42" s="152">
        <f>(30+1.5+1.5)*0.1</f>
        <v>3.3000000000000003</v>
      </c>
      <c r="M42" s="168"/>
      <c r="N42"/>
      <c r="O42"/>
      <c r="P42"/>
      <c r="Q42"/>
      <c r="R42"/>
      <c r="S42"/>
      <c r="T42" s="25"/>
      <c r="U42" s="25"/>
      <c r="V42" s="25"/>
      <c r="W42" s="25"/>
      <c r="X42" s="25"/>
      <c r="Y42" s="25"/>
      <c r="Z42" s="25"/>
    </row>
    <row r="43" spans="1:26" s="22" customFormat="1" ht="15">
      <c r="A43" s="24"/>
      <c r="B43" s="128" t="s">
        <v>148</v>
      </c>
      <c r="C43" s="129" t="s">
        <v>109</v>
      </c>
      <c r="D43" s="129"/>
      <c r="E43" s="130" t="s">
        <v>108</v>
      </c>
      <c r="F43" s="131" t="s">
        <v>6</v>
      </c>
      <c r="G43" s="133">
        <v>4.5</v>
      </c>
      <c r="H43" s="132">
        <f>ROUND(J43*$J$8,2)</f>
        <v>380.66</v>
      </c>
      <c r="I43" s="159">
        <f>ROUND(H43*G43,2)</f>
        <v>1712.97</v>
      </c>
      <c r="J43" s="155">
        <v>299.73</v>
      </c>
      <c r="K43" s="152">
        <f>30*1.5*0.1</f>
        <v>4.5</v>
      </c>
      <c r="M43" s="168"/>
      <c r="N43"/>
      <c r="O43"/>
      <c r="P43"/>
      <c r="Q43"/>
      <c r="R43"/>
      <c r="S43"/>
      <c r="T43" s="25"/>
      <c r="U43" s="25"/>
      <c r="V43" s="25"/>
      <c r="W43" s="25"/>
      <c r="X43" s="25"/>
      <c r="Y43" s="25"/>
      <c r="Z43" s="25"/>
    </row>
    <row r="44" spans="1:26" s="22" customFormat="1" ht="15.75" thickBot="1">
      <c r="A44" s="24"/>
      <c r="B44" s="215" t="s">
        <v>149</v>
      </c>
      <c r="C44" s="134" t="s">
        <v>111</v>
      </c>
      <c r="D44" s="134"/>
      <c r="E44" s="216" t="s">
        <v>110</v>
      </c>
      <c r="F44" s="135" t="s">
        <v>6</v>
      </c>
      <c r="G44" s="136">
        <v>4.5</v>
      </c>
      <c r="H44" s="137">
        <f>ROUND(J44*$J$8,2)</f>
        <v>144.58</v>
      </c>
      <c r="I44" s="162">
        <f>ROUND(H44*G44,2)</f>
        <v>650.61</v>
      </c>
      <c r="J44" s="155">
        <v>113.84</v>
      </c>
      <c r="K44" s="152">
        <f>G33*0.04</f>
        <v>4.8</v>
      </c>
      <c r="M44" s="168"/>
      <c r="N44"/>
      <c r="O44"/>
      <c r="P44"/>
      <c r="Q44"/>
      <c r="R44"/>
      <c r="S44"/>
      <c r="T44" s="25"/>
      <c r="U44" s="25"/>
      <c r="V44" s="25"/>
      <c r="W44" s="25"/>
      <c r="X44" s="25"/>
      <c r="Y44" s="25"/>
      <c r="Z44" s="25"/>
    </row>
    <row r="45" spans="1:20" ht="15" customHeight="1" thickBot="1">
      <c r="A45" s="18"/>
      <c r="B45" s="241" t="s">
        <v>118</v>
      </c>
      <c r="C45" s="242"/>
      <c r="D45" s="242"/>
      <c r="E45" s="242"/>
      <c r="F45" s="242"/>
      <c r="G45" s="242"/>
      <c r="H45" s="242"/>
      <c r="I45" s="243">
        <f>SUM(I32,I28,I24,I12)</f>
        <v>432791.48</v>
      </c>
      <c r="J45" s="167"/>
      <c r="N45"/>
      <c r="O45"/>
      <c r="P45"/>
      <c r="Q45"/>
      <c r="R45"/>
      <c r="S45"/>
      <c r="T45" s="4"/>
    </row>
    <row r="46" spans="2:19" ht="8.25" customHeight="1" thickBot="1">
      <c r="B46" s="61"/>
      <c r="C46" s="62"/>
      <c r="D46" s="62"/>
      <c r="E46" s="62"/>
      <c r="F46" s="63"/>
      <c r="G46" s="63"/>
      <c r="H46" s="63"/>
      <c r="I46" s="64"/>
      <c r="N46"/>
      <c r="O46"/>
      <c r="P46"/>
      <c r="Q46"/>
      <c r="R46"/>
      <c r="S46"/>
    </row>
    <row r="47" spans="1:19" s="22" customFormat="1" ht="18" customHeight="1" thickBot="1">
      <c r="A47" s="21"/>
      <c r="B47" s="146">
        <v>2</v>
      </c>
      <c r="C47" s="147"/>
      <c r="D47" s="147"/>
      <c r="E47" s="148" t="s">
        <v>178</v>
      </c>
      <c r="F47" s="149"/>
      <c r="G47" s="150"/>
      <c r="H47" s="150"/>
      <c r="I47" s="151"/>
      <c r="J47" s="145"/>
      <c r="K47" s="21"/>
      <c r="N47"/>
      <c r="O47"/>
      <c r="P47"/>
      <c r="Q47"/>
      <c r="R47"/>
      <c r="S47"/>
    </row>
    <row r="48" spans="1:19" s="22" customFormat="1" ht="15" customHeight="1" thickBot="1">
      <c r="A48" s="21"/>
      <c r="B48" s="115"/>
      <c r="C48" s="116"/>
      <c r="D48" s="116"/>
      <c r="E48" s="117" t="s">
        <v>70</v>
      </c>
      <c r="F48" s="118"/>
      <c r="G48" s="119"/>
      <c r="H48" s="119"/>
      <c r="I48" s="157">
        <f>ROUND(SUM(I49:I56),2)</f>
        <v>15103.89</v>
      </c>
      <c r="J48" s="145"/>
      <c r="K48" s="172" t="s">
        <v>91</v>
      </c>
      <c r="L48" s="172"/>
      <c r="M48" s="156"/>
      <c r="N48"/>
      <c r="O48"/>
      <c r="P48"/>
      <c r="Q48"/>
      <c r="R48"/>
      <c r="S48"/>
    </row>
    <row r="49" spans="1:20" ht="15">
      <c r="A49" s="24"/>
      <c r="B49" s="138" t="s">
        <v>7</v>
      </c>
      <c r="C49" s="139" t="s">
        <v>65</v>
      </c>
      <c r="D49" s="139" t="s">
        <v>72</v>
      </c>
      <c r="E49" s="140" t="s">
        <v>64</v>
      </c>
      <c r="F49" s="141" t="s">
        <v>3</v>
      </c>
      <c r="G49" s="142">
        <v>6</v>
      </c>
      <c r="H49" s="142">
        <f aca="true" t="shared" si="3" ref="H49:H56">ROUND(J49*$J$8,2)</f>
        <v>620.43</v>
      </c>
      <c r="I49" s="158">
        <f aca="true" t="shared" si="4" ref="I49:I56">ROUND(H49*G49,2)</f>
        <v>3722.58</v>
      </c>
      <c r="J49" s="155">
        <v>488.53</v>
      </c>
      <c r="K49" s="152"/>
      <c r="M49" s="168"/>
      <c r="N49"/>
      <c r="O49"/>
      <c r="P49"/>
      <c r="Q49"/>
      <c r="R49"/>
      <c r="S49"/>
      <c r="T49" s="4"/>
    </row>
    <row r="50" spans="1:20" ht="15">
      <c r="A50" s="24"/>
      <c r="B50" s="128" t="s">
        <v>67</v>
      </c>
      <c r="C50" s="129" t="s">
        <v>120</v>
      </c>
      <c r="D50" s="129" t="s">
        <v>72</v>
      </c>
      <c r="E50" s="143" t="s">
        <v>119</v>
      </c>
      <c r="F50" s="131" t="s">
        <v>71</v>
      </c>
      <c r="G50" s="132">
        <v>35</v>
      </c>
      <c r="H50" s="132">
        <f t="shared" si="3"/>
        <v>1.13</v>
      </c>
      <c r="I50" s="159">
        <f t="shared" si="4"/>
        <v>39.55</v>
      </c>
      <c r="J50" s="155">
        <v>0.89</v>
      </c>
      <c r="K50" s="152"/>
      <c r="M50" s="168"/>
      <c r="N50"/>
      <c r="O50"/>
      <c r="P50"/>
      <c r="Q50"/>
      <c r="R50"/>
      <c r="S50"/>
      <c r="T50" s="4"/>
    </row>
    <row r="51" spans="1:20" ht="38.25">
      <c r="A51" s="24"/>
      <c r="B51" s="128" t="s">
        <v>68</v>
      </c>
      <c r="C51" s="129" t="s">
        <v>28</v>
      </c>
      <c r="D51" s="129" t="s">
        <v>72</v>
      </c>
      <c r="E51" s="143" t="s">
        <v>29</v>
      </c>
      <c r="F51" s="131" t="s">
        <v>3</v>
      </c>
      <c r="G51" s="132">
        <v>105</v>
      </c>
      <c r="H51" s="132">
        <f t="shared" si="3"/>
        <v>3.09</v>
      </c>
      <c r="I51" s="159">
        <f t="shared" si="4"/>
        <v>324.45</v>
      </c>
      <c r="J51" s="155">
        <v>2.43</v>
      </c>
      <c r="K51" s="152">
        <f>35*3</f>
        <v>105</v>
      </c>
      <c r="L51" s="4" t="s">
        <v>179</v>
      </c>
      <c r="M51" s="168"/>
      <c r="N51"/>
      <c r="O51"/>
      <c r="P51"/>
      <c r="Q51"/>
      <c r="R51"/>
      <c r="S51"/>
      <c r="T51" s="4"/>
    </row>
    <row r="52" spans="1:26" s="22" customFormat="1" ht="45">
      <c r="A52" s="24"/>
      <c r="B52" s="128" t="s">
        <v>69</v>
      </c>
      <c r="C52" s="129" t="s">
        <v>81</v>
      </c>
      <c r="D52" s="129" t="s">
        <v>72</v>
      </c>
      <c r="E52" s="130" t="s">
        <v>80</v>
      </c>
      <c r="F52" s="131" t="s">
        <v>6</v>
      </c>
      <c r="G52" s="133">
        <v>1.35</v>
      </c>
      <c r="H52" s="132">
        <f t="shared" si="3"/>
        <v>244.93</v>
      </c>
      <c r="I52" s="159">
        <f t="shared" si="4"/>
        <v>330.66</v>
      </c>
      <c r="J52" s="155">
        <v>192.86</v>
      </c>
      <c r="K52" s="152">
        <f>30*0.3*0.15</f>
        <v>1.3499999999999999</v>
      </c>
      <c r="L52" s="22" t="s">
        <v>180</v>
      </c>
      <c r="M52" s="168"/>
      <c r="N52"/>
      <c r="O52"/>
      <c r="P52"/>
      <c r="Q52"/>
      <c r="R52"/>
      <c r="S52"/>
      <c r="T52" s="25"/>
      <c r="U52" s="25"/>
      <c r="V52" s="25"/>
      <c r="W52" s="25"/>
      <c r="X52" s="25"/>
      <c r="Y52" s="25"/>
      <c r="Z52" s="25"/>
    </row>
    <row r="53" spans="1:26" s="22" customFormat="1" ht="30">
      <c r="A53" s="24"/>
      <c r="B53" s="128" t="s">
        <v>73</v>
      </c>
      <c r="C53" s="129" t="s">
        <v>84</v>
      </c>
      <c r="D53" s="129" t="s">
        <v>72</v>
      </c>
      <c r="E53" s="130" t="s">
        <v>83</v>
      </c>
      <c r="F53" s="131" t="s">
        <v>71</v>
      </c>
      <c r="G53" s="133">
        <v>60</v>
      </c>
      <c r="H53" s="132">
        <f t="shared" si="3"/>
        <v>6.86</v>
      </c>
      <c r="I53" s="159">
        <f t="shared" si="4"/>
        <v>411.6</v>
      </c>
      <c r="J53" s="155">
        <v>5.4</v>
      </c>
      <c r="K53" s="152">
        <f>30+30</f>
        <v>60</v>
      </c>
      <c r="L53" s="22" t="s">
        <v>121</v>
      </c>
      <c r="M53" s="168"/>
      <c r="N53"/>
      <c r="O53"/>
      <c r="P53"/>
      <c r="Q53"/>
      <c r="R53"/>
      <c r="S53"/>
      <c r="T53" s="25"/>
      <c r="U53" s="25"/>
      <c r="V53" s="25"/>
      <c r="W53" s="25"/>
      <c r="X53" s="25"/>
      <c r="Y53" s="25"/>
      <c r="Z53" s="25"/>
    </row>
    <row r="54" spans="1:20" ht="25.5">
      <c r="A54" s="23"/>
      <c r="B54" s="128" t="s">
        <v>150</v>
      </c>
      <c r="C54" s="129" t="s">
        <v>116</v>
      </c>
      <c r="D54" s="129" t="s">
        <v>72</v>
      </c>
      <c r="E54" s="143" t="s">
        <v>117</v>
      </c>
      <c r="F54" s="131" t="s">
        <v>6</v>
      </c>
      <c r="G54" s="132">
        <v>176.39</v>
      </c>
      <c r="H54" s="132">
        <f t="shared" si="3"/>
        <v>13.5</v>
      </c>
      <c r="I54" s="159">
        <f t="shared" si="4"/>
        <v>2381.27</v>
      </c>
      <c r="J54" s="155">
        <v>10.63</v>
      </c>
      <c r="K54" s="121">
        <f>G51*0.3+G52+(G55-G56)</f>
        <v>176.39000000000001</v>
      </c>
      <c r="M54" s="168"/>
      <c r="N54"/>
      <c r="O54"/>
      <c r="P54"/>
      <c r="Q54"/>
      <c r="R54"/>
      <c r="S54"/>
      <c r="T54" s="4"/>
    </row>
    <row r="55" spans="1:20" ht="25.5">
      <c r="A55" s="23"/>
      <c r="B55" s="128" t="s">
        <v>151</v>
      </c>
      <c r="C55" s="129" t="s">
        <v>132</v>
      </c>
      <c r="D55" s="129" t="s">
        <v>72</v>
      </c>
      <c r="E55" s="143" t="s">
        <v>131</v>
      </c>
      <c r="F55" s="131" t="s">
        <v>6</v>
      </c>
      <c r="G55" s="132">
        <v>336.61</v>
      </c>
      <c r="H55" s="132">
        <f t="shared" si="3"/>
        <v>20.17</v>
      </c>
      <c r="I55" s="159">
        <f t="shared" si="4"/>
        <v>6789.42</v>
      </c>
      <c r="J55" s="155">
        <v>15.88</v>
      </c>
      <c r="K55" s="152">
        <f>(3.43+2.5)*8+(5.77+4.94)*27</f>
        <v>336.61</v>
      </c>
      <c r="L55" s="4" t="s">
        <v>87</v>
      </c>
      <c r="M55" s="168"/>
      <c r="N55"/>
      <c r="O55"/>
      <c r="P55"/>
      <c r="Q55"/>
      <c r="R55"/>
      <c r="S55"/>
      <c r="T55" s="4"/>
    </row>
    <row r="56" spans="1:20" ht="15.75" thickBot="1">
      <c r="A56" s="23"/>
      <c r="B56" s="215" t="s">
        <v>152</v>
      </c>
      <c r="C56" s="134" t="s">
        <v>89</v>
      </c>
      <c r="D56" s="134" t="s">
        <v>72</v>
      </c>
      <c r="E56" s="218" t="s">
        <v>88</v>
      </c>
      <c r="F56" s="135" t="s">
        <v>6</v>
      </c>
      <c r="G56" s="137">
        <v>193.07</v>
      </c>
      <c r="H56" s="137">
        <f t="shared" si="3"/>
        <v>5.72</v>
      </c>
      <c r="I56" s="162">
        <f t="shared" si="4"/>
        <v>1104.36</v>
      </c>
      <c r="J56" s="155">
        <v>4.5</v>
      </c>
      <c r="K56" s="152">
        <f>(2.43+2.23)*8+5.77*27</f>
        <v>193.07</v>
      </c>
      <c r="L56" s="121" t="s">
        <v>90</v>
      </c>
      <c r="M56" s="168"/>
      <c r="N56"/>
      <c r="O56"/>
      <c r="P56"/>
      <c r="Q56"/>
      <c r="R56"/>
      <c r="S56"/>
      <c r="T56" s="4"/>
    </row>
    <row r="57" spans="1:19" s="22" customFormat="1" ht="15.75" customHeight="1" thickBot="1">
      <c r="A57" s="21"/>
      <c r="B57" s="41"/>
      <c r="C57" s="10"/>
      <c r="D57" s="10"/>
      <c r="E57" s="11" t="s">
        <v>9</v>
      </c>
      <c r="F57" s="12"/>
      <c r="G57" s="13"/>
      <c r="H57" s="13"/>
      <c r="I57" s="160">
        <f>ROUND(SUM(I58:I59),2)</f>
        <v>158056.33</v>
      </c>
      <c r="J57" s="164"/>
      <c r="K57" s="153"/>
      <c r="M57" s="168"/>
      <c r="N57"/>
      <c r="O57"/>
      <c r="P57"/>
      <c r="Q57"/>
      <c r="R57"/>
      <c r="S57"/>
    </row>
    <row r="58" spans="1:26" s="22" customFormat="1" ht="45">
      <c r="A58" s="24"/>
      <c r="B58" s="123" t="s">
        <v>153</v>
      </c>
      <c r="C58" s="124" t="s">
        <v>26</v>
      </c>
      <c r="D58" s="124" t="s">
        <v>72</v>
      </c>
      <c r="E58" s="125" t="s">
        <v>25</v>
      </c>
      <c r="F58" s="126" t="s">
        <v>6</v>
      </c>
      <c r="G58" s="217">
        <v>248.5</v>
      </c>
      <c r="H58" s="127">
        <f>ROUND(J58*$J$8,2)</f>
        <v>626.3</v>
      </c>
      <c r="I58" s="161">
        <f>ROUND(H58*G58,2)</f>
        <v>155635.55</v>
      </c>
      <c r="J58" s="155">
        <v>493.15</v>
      </c>
      <c r="K58" s="152">
        <f>4.5*35+4*0.65*35</f>
        <v>248.5</v>
      </c>
      <c r="L58" s="22" t="s">
        <v>177</v>
      </c>
      <c r="M58" s="168"/>
      <c r="N58"/>
      <c r="O58"/>
      <c r="P58"/>
      <c r="Q58"/>
      <c r="R58"/>
      <c r="S58"/>
      <c r="T58" s="169"/>
      <c r="U58" s="25"/>
      <c r="V58" s="25"/>
      <c r="W58" s="25"/>
      <c r="X58" s="25"/>
      <c r="Y58" s="25"/>
      <c r="Z58" s="25"/>
    </row>
    <row r="59" spans="1:26" s="22" customFormat="1" ht="30.75" thickBot="1">
      <c r="A59" s="24"/>
      <c r="B59" s="215" t="s">
        <v>154</v>
      </c>
      <c r="C59" s="134" t="s">
        <v>175</v>
      </c>
      <c r="D59" s="134" t="s">
        <v>72</v>
      </c>
      <c r="E59" s="216" t="s">
        <v>174</v>
      </c>
      <c r="F59" s="135" t="s">
        <v>3</v>
      </c>
      <c r="G59" s="136">
        <v>157.5</v>
      </c>
      <c r="H59" s="137">
        <f>ROUND(J59*$J$8,2)</f>
        <v>15.37</v>
      </c>
      <c r="I59" s="162">
        <f>ROUND(H59*G59,2)</f>
        <v>2420.78</v>
      </c>
      <c r="J59" s="155">
        <v>12.1</v>
      </c>
      <c r="K59" s="152">
        <f>4.5*35</f>
        <v>157.5</v>
      </c>
      <c r="L59" s="22" t="s">
        <v>95</v>
      </c>
      <c r="M59" s="168"/>
      <c r="N59"/>
      <c r="O59"/>
      <c r="P59"/>
      <c r="Q59"/>
      <c r="R59"/>
      <c r="S59"/>
      <c r="T59" s="25"/>
      <c r="U59" s="25"/>
      <c r="V59" s="25"/>
      <c r="W59" s="25"/>
      <c r="X59" s="25"/>
      <c r="Y59" s="25"/>
      <c r="Z59" s="25"/>
    </row>
    <row r="60" spans="1:26" s="22" customFormat="1" ht="14.25" customHeight="1" thickBot="1">
      <c r="A60" s="24"/>
      <c r="B60" s="41"/>
      <c r="C60" s="26"/>
      <c r="D60" s="26"/>
      <c r="E60" s="11" t="s">
        <v>97</v>
      </c>
      <c r="F60" s="11"/>
      <c r="G60" s="11"/>
      <c r="H60" s="11"/>
      <c r="I60" s="163">
        <f>ROUND(SUM(I61:I63),2)</f>
        <v>2126.55</v>
      </c>
      <c r="J60" s="165"/>
      <c r="K60" s="154"/>
      <c r="M60" s="168"/>
      <c r="N60"/>
      <c r="O60"/>
      <c r="P60"/>
      <c r="Q60"/>
      <c r="R60"/>
      <c r="S60"/>
      <c r="T60" s="25"/>
      <c r="U60" s="25"/>
      <c r="V60" s="25"/>
      <c r="W60" s="25"/>
      <c r="X60" s="25"/>
      <c r="Y60" s="25"/>
      <c r="Z60" s="25"/>
    </row>
    <row r="61" spans="1:26" s="22" customFormat="1" ht="15">
      <c r="A61" s="24"/>
      <c r="B61" s="123" t="s">
        <v>155</v>
      </c>
      <c r="C61" s="124" t="s">
        <v>35</v>
      </c>
      <c r="D61" s="124" t="s">
        <v>72</v>
      </c>
      <c r="E61" s="125" t="s">
        <v>98</v>
      </c>
      <c r="F61" s="126" t="s">
        <v>6</v>
      </c>
      <c r="G61" s="127">
        <v>1.5</v>
      </c>
      <c r="H61" s="127">
        <f>ROUND(J61*$J$8,2)</f>
        <v>144.2</v>
      </c>
      <c r="I61" s="161">
        <f>ROUND(H61*G61,2)</f>
        <v>216.3</v>
      </c>
      <c r="J61" s="155">
        <v>113.54</v>
      </c>
      <c r="K61" s="152">
        <f>(0.3+0.2)*30*0.1</f>
        <v>1.5</v>
      </c>
      <c r="M61" s="168"/>
      <c r="N61"/>
      <c r="O61"/>
      <c r="P61"/>
      <c r="Q61"/>
      <c r="R61"/>
      <c r="S61"/>
      <c r="T61" s="25"/>
      <c r="U61" s="25"/>
      <c r="V61" s="25"/>
      <c r="W61" s="25"/>
      <c r="X61" s="25"/>
      <c r="Y61" s="25"/>
      <c r="Z61" s="25"/>
    </row>
    <row r="62" spans="1:26" s="22" customFormat="1" ht="15">
      <c r="A62" s="24"/>
      <c r="B62" s="128" t="s">
        <v>156</v>
      </c>
      <c r="C62" s="129" t="s">
        <v>105</v>
      </c>
      <c r="D62" s="129" t="s">
        <v>72</v>
      </c>
      <c r="E62" s="130" t="s">
        <v>104</v>
      </c>
      <c r="F62" s="131" t="s">
        <v>71</v>
      </c>
      <c r="G62" s="133">
        <v>60</v>
      </c>
      <c r="H62" s="132">
        <f>ROUND(J62*$J$8,2)</f>
        <v>18.2</v>
      </c>
      <c r="I62" s="159">
        <f>G62*H62</f>
        <v>1092</v>
      </c>
      <c r="J62" s="166">
        <v>14.33</v>
      </c>
      <c r="K62" s="152">
        <f>G53</f>
        <v>60</v>
      </c>
      <c r="M62" s="168"/>
      <c r="N62"/>
      <c r="O62"/>
      <c r="P62"/>
      <c r="Q62"/>
      <c r="R62"/>
      <c r="S62"/>
      <c r="T62" s="25"/>
      <c r="U62" s="25"/>
      <c r="V62" s="25"/>
      <c r="W62" s="25"/>
      <c r="X62" s="25"/>
      <c r="Y62" s="25"/>
      <c r="Z62" s="25"/>
    </row>
    <row r="63" spans="1:26" s="22" customFormat="1" ht="30.75" thickBot="1">
      <c r="A63" s="24"/>
      <c r="B63" s="215" t="s">
        <v>157</v>
      </c>
      <c r="C63" s="134" t="s">
        <v>24</v>
      </c>
      <c r="D63" s="134" t="s">
        <v>72</v>
      </c>
      <c r="E63" s="216" t="s">
        <v>66</v>
      </c>
      <c r="F63" s="135" t="s">
        <v>6</v>
      </c>
      <c r="G63" s="137">
        <v>1.35</v>
      </c>
      <c r="H63" s="137">
        <f>ROUND(J63*$J$8,2)</f>
        <v>606.11</v>
      </c>
      <c r="I63" s="162">
        <f>ROUND(H63*G63,2)</f>
        <v>818.25</v>
      </c>
      <c r="J63" s="155">
        <v>477.25</v>
      </c>
      <c r="K63" s="152">
        <f>0.3*0.15*30</f>
        <v>1.3499999999999999</v>
      </c>
      <c r="M63" s="168"/>
      <c r="N63"/>
      <c r="O63"/>
      <c r="P63"/>
      <c r="Q63"/>
      <c r="R63"/>
      <c r="S63"/>
      <c r="T63" s="25"/>
      <c r="U63" s="25"/>
      <c r="V63" s="25"/>
      <c r="W63" s="25"/>
      <c r="X63" s="25"/>
      <c r="Y63" s="25"/>
      <c r="Z63" s="25"/>
    </row>
    <row r="64" spans="1:26" s="22" customFormat="1" ht="15" customHeight="1" thickBot="1">
      <c r="A64" s="24"/>
      <c r="B64" s="41"/>
      <c r="C64" s="10"/>
      <c r="D64" s="10"/>
      <c r="E64" s="11" t="s">
        <v>122</v>
      </c>
      <c r="F64" s="12"/>
      <c r="G64" s="13"/>
      <c r="H64" s="13"/>
      <c r="I64" s="160">
        <f>ROUND(SUM(I65:I72),2)</f>
        <v>6325.11</v>
      </c>
      <c r="J64" s="247">
        <f>(I64-I65-I66)/I73</f>
        <v>0.02822221762144635</v>
      </c>
      <c r="K64" s="248">
        <f>I64-I65-I66</f>
        <v>5125.49</v>
      </c>
      <c r="M64" s="168"/>
      <c r="N64"/>
      <c r="O64"/>
      <c r="P64"/>
      <c r="Q64"/>
      <c r="R64"/>
      <c r="S64"/>
      <c r="T64" s="25"/>
      <c r="U64" s="25"/>
      <c r="V64" s="25"/>
      <c r="W64" s="25"/>
      <c r="X64" s="25"/>
      <c r="Y64" s="25"/>
      <c r="Z64" s="25"/>
    </row>
    <row r="65" spans="1:26" s="22" customFormat="1" ht="30">
      <c r="A65" s="24"/>
      <c r="B65" s="123" t="s">
        <v>158</v>
      </c>
      <c r="C65" s="124" t="s">
        <v>126</v>
      </c>
      <c r="D65" s="124" t="s">
        <v>72</v>
      </c>
      <c r="E65" s="125" t="s">
        <v>125</v>
      </c>
      <c r="F65" s="126" t="s">
        <v>6</v>
      </c>
      <c r="G65" s="127">
        <v>54</v>
      </c>
      <c r="H65" s="127">
        <f aca="true" t="shared" si="5" ref="H65:H72">ROUND(J65*$J$8,2)</f>
        <v>10.29</v>
      </c>
      <c r="I65" s="161">
        <f aca="true" t="shared" si="6" ref="I65:I72">ROUND(H65*G65,2)</f>
        <v>555.66</v>
      </c>
      <c r="J65" s="155">
        <v>8.1</v>
      </c>
      <c r="K65" s="152">
        <f>30*1.8</f>
        <v>54</v>
      </c>
      <c r="M65" s="168"/>
      <c r="N65"/>
      <c r="O65"/>
      <c r="P65"/>
      <c r="Q65"/>
      <c r="R65"/>
      <c r="S65"/>
      <c r="T65" s="25"/>
      <c r="U65" s="25"/>
      <c r="V65" s="25"/>
      <c r="W65" s="25"/>
      <c r="X65" s="25"/>
      <c r="Y65" s="25"/>
      <c r="Z65" s="25"/>
    </row>
    <row r="66" spans="1:26" s="22" customFormat="1" ht="15">
      <c r="A66" s="24"/>
      <c r="B66" s="128" t="s">
        <v>159</v>
      </c>
      <c r="C66" s="129" t="s">
        <v>128</v>
      </c>
      <c r="D66" s="129" t="s">
        <v>72</v>
      </c>
      <c r="E66" s="130" t="s">
        <v>127</v>
      </c>
      <c r="F66" s="131" t="s">
        <v>3</v>
      </c>
      <c r="G66" s="133">
        <v>24.2</v>
      </c>
      <c r="H66" s="132">
        <f t="shared" si="5"/>
        <v>26.61</v>
      </c>
      <c r="I66" s="159">
        <f t="shared" si="6"/>
        <v>643.96</v>
      </c>
      <c r="J66" s="155">
        <v>20.95</v>
      </c>
      <c r="K66" s="152">
        <f>22*1.1</f>
        <v>24.200000000000003</v>
      </c>
      <c r="M66" s="168"/>
      <c r="N66"/>
      <c r="O66"/>
      <c r="P66"/>
      <c r="Q66"/>
      <c r="R66"/>
      <c r="S66"/>
      <c r="T66" s="25"/>
      <c r="U66" s="25"/>
      <c r="V66" s="25"/>
      <c r="W66" s="25"/>
      <c r="X66" s="25"/>
      <c r="Y66" s="25"/>
      <c r="Z66" s="25"/>
    </row>
    <row r="67" spans="1:26" s="22" customFormat="1" ht="15">
      <c r="A67" s="24"/>
      <c r="B67" s="128" t="s">
        <v>160</v>
      </c>
      <c r="C67" s="129" t="s">
        <v>130</v>
      </c>
      <c r="D67" s="129" t="s">
        <v>72</v>
      </c>
      <c r="E67" s="130" t="s">
        <v>129</v>
      </c>
      <c r="F67" s="131" t="s">
        <v>3</v>
      </c>
      <c r="G67" s="133">
        <v>24.2</v>
      </c>
      <c r="H67" s="132">
        <f t="shared" si="5"/>
        <v>38</v>
      </c>
      <c r="I67" s="159">
        <f t="shared" si="6"/>
        <v>919.6</v>
      </c>
      <c r="J67" s="155">
        <v>29.92</v>
      </c>
      <c r="K67" s="152">
        <f>G66</f>
        <v>24.2</v>
      </c>
      <c r="L67" s="19"/>
      <c r="M67" s="168"/>
      <c r="N67"/>
      <c r="O67"/>
      <c r="P67"/>
      <c r="Q67"/>
      <c r="R67"/>
      <c r="S67"/>
      <c r="T67" s="25"/>
      <c r="U67" s="25"/>
      <c r="V67" s="25"/>
      <c r="W67" s="25"/>
      <c r="X67" s="25"/>
      <c r="Y67" s="25"/>
      <c r="Z67" s="25"/>
    </row>
    <row r="68" spans="1:26" s="22" customFormat="1" ht="15">
      <c r="A68" s="24"/>
      <c r="B68" s="128" t="s">
        <v>161</v>
      </c>
      <c r="C68" s="129" t="s">
        <v>35</v>
      </c>
      <c r="D68" s="129" t="s">
        <v>72</v>
      </c>
      <c r="E68" s="130" t="s">
        <v>34</v>
      </c>
      <c r="F68" s="131" t="s">
        <v>6</v>
      </c>
      <c r="G68" s="132">
        <v>8.1</v>
      </c>
      <c r="H68" s="132">
        <f t="shared" si="5"/>
        <v>144.2</v>
      </c>
      <c r="I68" s="159">
        <f t="shared" si="6"/>
        <v>1168.02</v>
      </c>
      <c r="J68" s="155">
        <v>113.54</v>
      </c>
      <c r="K68" s="152">
        <f>30*1.8*0.15</f>
        <v>8.1</v>
      </c>
      <c r="L68" s="22" t="s">
        <v>163</v>
      </c>
      <c r="M68" s="168"/>
      <c r="N68"/>
      <c r="O68"/>
      <c r="P68"/>
      <c r="Q68"/>
      <c r="R68"/>
      <c r="S68"/>
      <c r="T68" s="25"/>
      <c r="U68" s="25"/>
      <c r="V68" s="25"/>
      <c r="W68" s="25"/>
      <c r="X68" s="25"/>
      <c r="Y68" s="25"/>
      <c r="Z68" s="25"/>
    </row>
    <row r="69" spans="1:26" s="22" customFormat="1" ht="30">
      <c r="A69" s="24"/>
      <c r="B69" s="128" t="s">
        <v>162</v>
      </c>
      <c r="C69" s="129" t="s">
        <v>124</v>
      </c>
      <c r="D69" s="129" t="s">
        <v>72</v>
      </c>
      <c r="E69" s="130" t="s">
        <v>123</v>
      </c>
      <c r="F69" s="131" t="s">
        <v>3</v>
      </c>
      <c r="G69" s="133">
        <v>54</v>
      </c>
      <c r="H69" s="132">
        <f t="shared" si="5"/>
        <v>21.48</v>
      </c>
      <c r="I69" s="159">
        <f t="shared" si="6"/>
        <v>1159.92</v>
      </c>
      <c r="J69" s="155">
        <v>16.91</v>
      </c>
      <c r="K69" s="152">
        <f>G65</f>
        <v>54</v>
      </c>
      <c r="M69" s="168"/>
      <c r="N69"/>
      <c r="O69"/>
      <c r="P69"/>
      <c r="Q69"/>
      <c r="R69"/>
      <c r="S69"/>
      <c r="T69" s="25"/>
      <c r="U69" s="25"/>
      <c r="V69" s="25"/>
      <c r="W69" s="25"/>
      <c r="X69" s="25"/>
      <c r="Y69" s="25"/>
      <c r="Z69" s="25"/>
    </row>
    <row r="70" spans="1:26" s="22" customFormat="1" ht="15">
      <c r="A70" s="24"/>
      <c r="B70" s="128" t="s">
        <v>164</v>
      </c>
      <c r="C70" s="129" t="s">
        <v>168</v>
      </c>
      <c r="D70" s="129" t="s">
        <v>72</v>
      </c>
      <c r="E70" s="130" t="s">
        <v>167</v>
      </c>
      <c r="F70" s="131" t="s">
        <v>173</v>
      </c>
      <c r="G70" s="133">
        <v>2</v>
      </c>
      <c r="H70" s="132">
        <f t="shared" si="5"/>
        <v>211.95</v>
      </c>
      <c r="I70" s="159">
        <f t="shared" si="6"/>
        <v>423.9</v>
      </c>
      <c r="J70" s="155">
        <v>166.89</v>
      </c>
      <c r="K70" s="152">
        <v>2</v>
      </c>
      <c r="M70" s="168"/>
      <c r="N70"/>
      <c r="O70"/>
      <c r="P70"/>
      <c r="Q70"/>
      <c r="R70"/>
      <c r="S70"/>
      <c r="T70" s="25"/>
      <c r="U70" s="25"/>
      <c r="V70" s="25"/>
      <c r="W70" s="25"/>
      <c r="X70" s="25"/>
      <c r="Y70" s="25"/>
      <c r="Z70" s="25"/>
    </row>
    <row r="71" spans="1:26" s="22" customFormat="1" ht="15">
      <c r="A71" s="24"/>
      <c r="B71" s="128" t="s">
        <v>165</v>
      </c>
      <c r="C71" s="129" t="s">
        <v>172</v>
      </c>
      <c r="D71" s="129" t="s">
        <v>72</v>
      </c>
      <c r="E71" s="130" t="s">
        <v>171</v>
      </c>
      <c r="F71" s="131" t="s">
        <v>71</v>
      </c>
      <c r="G71" s="133">
        <v>17</v>
      </c>
      <c r="H71" s="132">
        <f t="shared" si="5"/>
        <v>78.31</v>
      </c>
      <c r="I71" s="159">
        <f t="shared" si="6"/>
        <v>1331.27</v>
      </c>
      <c r="J71" s="155">
        <v>61.66</v>
      </c>
      <c r="K71" s="152">
        <f>1.5*2+14*1</f>
        <v>17</v>
      </c>
      <c r="L71" s="22" t="s">
        <v>181</v>
      </c>
      <c r="M71" s="168"/>
      <c r="N71"/>
      <c r="O71"/>
      <c r="P71"/>
      <c r="Q71"/>
      <c r="R71"/>
      <c r="S71"/>
      <c r="T71" s="25"/>
      <c r="U71" s="25"/>
      <c r="V71" s="25"/>
      <c r="W71" s="25"/>
      <c r="X71" s="25"/>
      <c r="Y71" s="25"/>
      <c r="Z71" s="25"/>
    </row>
    <row r="72" spans="1:26" s="22" customFormat="1" ht="45.75" thickBot="1">
      <c r="A72" s="24"/>
      <c r="B72" s="215" t="s">
        <v>166</v>
      </c>
      <c r="C72" s="134" t="s">
        <v>170</v>
      </c>
      <c r="D72" s="134" t="s">
        <v>72</v>
      </c>
      <c r="E72" s="216" t="s">
        <v>169</v>
      </c>
      <c r="F72" s="135" t="s">
        <v>173</v>
      </c>
      <c r="G72" s="136">
        <v>2</v>
      </c>
      <c r="H72" s="137">
        <f t="shared" si="5"/>
        <v>61.39</v>
      </c>
      <c r="I72" s="162">
        <f t="shared" si="6"/>
        <v>122.78</v>
      </c>
      <c r="J72" s="155">
        <v>48.34</v>
      </c>
      <c r="K72" s="152"/>
      <c r="M72" s="168"/>
      <c r="N72"/>
      <c r="O72"/>
      <c r="P72"/>
      <c r="Q72"/>
      <c r="R72"/>
      <c r="S72"/>
      <c r="T72" s="25"/>
      <c r="U72" s="25"/>
      <c r="V72" s="25"/>
      <c r="W72" s="25"/>
      <c r="X72" s="25"/>
      <c r="Y72" s="25"/>
      <c r="Z72" s="25"/>
    </row>
    <row r="73" spans="1:20" ht="15" customHeight="1" thickBot="1">
      <c r="A73" s="18"/>
      <c r="B73" s="241" t="s">
        <v>118</v>
      </c>
      <c r="C73" s="242"/>
      <c r="D73" s="242"/>
      <c r="E73" s="242"/>
      <c r="F73" s="242"/>
      <c r="G73" s="242"/>
      <c r="H73" s="242"/>
      <c r="I73" s="243">
        <f>SUM(I64,I60,I57,I48)</f>
        <v>181611.88</v>
      </c>
      <c r="J73" s="167"/>
      <c r="N73"/>
      <c r="O73"/>
      <c r="P73"/>
      <c r="Q73"/>
      <c r="R73"/>
      <c r="S73"/>
      <c r="T73" s="4"/>
    </row>
    <row r="74" spans="2:19" ht="18.75" thickBot="1">
      <c r="B74" s="42"/>
      <c r="C74" s="43"/>
      <c r="D74" s="43"/>
      <c r="E74" s="6"/>
      <c r="F74" s="58"/>
      <c r="G74" s="8"/>
      <c r="H74" s="8"/>
      <c r="I74" s="50"/>
      <c r="N74"/>
      <c r="O74"/>
      <c r="P74"/>
      <c r="Q74"/>
      <c r="R74"/>
      <c r="S74"/>
    </row>
    <row r="75" spans="1:20" ht="15" customHeight="1" thickBot="1">
      <c r="A75" s="18"/>
      <c r="B75" s="241" t="s">
        <v>20</v>
      </c>
      <c r="C75" s="242"/>
      <c r="D75" s="242"/>
      <c r="E75" s="242"/>
      <c r="F75" s="242"/>
      <c r="G75" s="242"/>
      <c r="H75" s="242"/>
      <c r="I75" s="243">
        <f>I73+I45</f>
        <v>614403.36</v>
      </c>
      <c r="J75" s="167"/>
      <c r="N75"/>
      <c r="O75"/>
      <c r="P75"/>
      <c r="Q75"/>
      <c r="R75"/>
      <c r="S75"/>
      <c r="T75" s="4"/>
    </row>
    <row r="76" spans="2:19" ht="18">
      <c r="B76" s="42"/>
      <c r="C76" s="43"/>
      <c r="D76" s="43"/>
      <c r="E76" s="6"/>
      <c r="F76" s="58"/>
      <c r="G76" s="8"/>
      <c r="H76" s="8"/>
      <c r="I76" s="50"/>
      <c r="N76" s="168"/>
      <c r="O76"/>
      <c r="P76"/>
      <c r="Q76"/>
      <c r="R76"/>
      <c r="S76"/>
    </row>
    <row r="77" spans="2:19" ht="18">
      <c r="B77" s="42"/>
      <c r="C77" s="43"/>
      <c r="D77" s="43"/>
      <c r="E77" s="6"/>
      <c r="F77" s="58"/>
      <c r="G77" s="8"/>
      <c r="H77" s="8"/>
      <c r="I77" s="50"/>
      <c r="N77"/>
      <c r="O77"/>
      <c r="P77"/>
      <c r="Q77"/>
      <c r="R77"/>
      <c r="S77"/>
    </row>
    <row r="78" spans="2:19" ht="18">
      <c r="B78" s="42"/>
      <c r="C78" s="43"/>
      <c r="D78" s="43"/>
      <c r="E78" s="6"/>
      <c r="F78" s="58"/>
      <c r="G78" s="8"/>
      <c r="H78" s="8"/>
      <c r="I78" s="50"/>
      <c r="N78"/>
      <c r="O78"/>
      <c r="P78"/>
      <c r="Q78"/>
      <c r="R78"/>
      <c r="S78"/>
    </row>
    <row r="79" spans="2:19" ht="18">
      <c r="B79" s="44"/>
      <c r="C79" s="45"/>
      <c r="D79" s="45"/>
      <c r="E79" s="5"/>
      <c r="F79" s="59" t="s">
        <v>41</v>
      </c>
      <c r="G79" s="60"/>
      <c r="H79" s="60"/>
      <c r="I79" s="50"/>
      <c r="O79"/>
      <c r="P79"/>
      <c r="Q79"/>
      <c r="R79"/>
      <c r="S79"/>
    </row>
    <row r="80" spans="1:26" s="2" customFormat="1" ht="18.75" thickBot="1">
      <c r="A80" s="4"/>
      <c r="B80" s="46"/>
      <c r="C80" s="47"/>
      <c r="D80" s="47"/>
      <c r="E80" s="47"/>
      <c r="F80" s="65" t="s">
        <v>40</v>
      </c>
      <c r="G80" s="48"/>
      <c r="H80" s="48"/>
      <c r="I80" s="51"/>
      <c r="J80" s="4"/>
      <c r="K80" s="4"/>
      <c r="L80" s="4"/>
      <c r="M80" s="4"/>
      <c r="N80" s="4"/>
      <c r="O80"/>
      <c r="P80"/>
      <c r="Q80"/>
      <c r="R80"/>
      <c r="S80"/>
      <c r="T80" s="20"/>
      <c r="U80" s="4"/>
      <c r="V80" s="4"/>
      <c r="W80" s="4"/>
      <c r="X80" s="4"/>
      <c r="Y80" s="4"/>
      <c r="Z80" s="4"/>
    </row>
    <row r="81" spans="1:26" s="2" customFormat="1" ht="18">
      <c r="A81" s="4"/>
      <c r="B81" s="1"/>
      <c r="C81" s="4"/>
      <c r="D81" s="4"/>
      <c r="E81" s="18"/>
      <c r="F81" s="9"/>
      <c r="G81" s="8"/>
      <c r="H81" s="8"/>
      <c r="I81" s="8"/>
      <c r="J81" s="4"/>
      <c r="K81" s="4"/>
      <c r="L81" s="4"/>
      <c r="M81" s="4"/>
      <c r="N81" s="4"/>
      <c r="O81"/>
      <c r="P81"/>
      <c r="Q81"/>
      <c r="R81"/>
      <c r="S81"/>
      <c r="T81" s="20"/>
      <c r="U81" s="4"/>
      <c r="V81" s="4"/>
      <c r="W81" s="4"/>
      <c r="X81" s="4"/>
      <c r="Y81" s="4"/>
      <c r="Z81" s="4"/>
    </row>
    <row r="82" spans="9:19" ht="18">
      <c r="I82" s="122"/>
      <c r="O82"/>
      <c r="P82"/>
      <c r="Q82"/>
      <c r="R82"/>
      <c r="S82"/>
    </row>
    <row r="83" spans="5:19" ht="23.25">
      <c r="E83" s="214" t="s">
        <v>183</v>
      </c>
      <c r="I83" s="122"/>
      <c r="O83"/>
      <c r="P83"/>
      <c r="Q83"/>
      <c r="R83"/>
      <c r="S83"/>
    </row>
    <row r="84" spans="15:19" ht="18">
      <c r="O84"/>
      <c r="P84"/>
      <c r="Q84"/>
      <c r="R84"/>
      <c r="S84"/>
    </row>
    <row r="85" spans="9:19" ht="18">
      <c r="I85" s="122"/>
      <c r="O85"/>
      <c r="P85"/>
      <c r="Q85"/>
      <c r="R85"/>
      <c r="S85"/>
    </row>
    <row r="86" spans="9:19" ht="18">
      <c r="I86" s="120"/>
      <c r="O86"/>
      <c r="P86"/>
      <c r="Q86"/>
      <c r="R86"/>
      <c r="S86"/>
    </row>
    <row r="87" ht="18">
      <c r="I87" s="122"/>
    </row>
    <row r="89" ht="18">
      <c r="I89" s="122"/>
    </row>
    <row r="90" spans="14:17" ht="18">
      <c r="N90" s="168"/>
      <c r="O90" s="168"/>
      <c r="P90" s="168"/>
      <c r="Q90" s="168"/>
    </row>
    <row r="91" spans="14:17" ht="18">
      <c r="N91" s="168"/>
      <c r="O91" s="168"/>
      <c r="P91" s="168"/>
      <c r="Q91" s="168"/>
    </row>
    <row r="92" spans="14:17" ht="18">
      <c r="N92" s="168"/>
      <c r="O92" s="168"/>
      <c r="P92" s="168"/>
      <c r="Q92" s="168"/>
    </row>
    <row r="93" spans="14:17" ht="18">
      <c r="N93" s="168"/>
      <c r="O93" s="168"/>
      <c r="P93" s="168"/>
      <c r="Q93" s="168"/>
    </row>
    <row r="94" spans="14:17" ht="18">
      <c r="N94" s="168"/>
      <c r="O94" s="168"/>
      <c r="P94" s="168"/>
      <c r="Q94" s="168"/>
    </row>
    <row r="95" spans="14:17" ht="18">
      <c r="N95" s="168"/>
      <c r="O95" s="168"/>
      <c r="P95" s="168"/>
      <c r="Q95" s="168"/>
    </row>
  </sheetData>
  <sheetProtection/>
  <mergeCells count="12">
    <mergeCell ref="E2:I2"/>
    <mergeCell ref="E3:I3"/>
    <mergeCell ref="G4:I4"/>
    <mergeCell ref="B45:H45"/>
    <mergeCell ref="E7:H7"/>
    <mergeCell ref="J9:J11"/>
    <mergeCell ref="E6:H6"/>
    <mergeCell ref="K12:L12"/>
    <mergeCell ref="K48:L48"/>
    <mergeCell ref="B73:H73"/>
    <mergeCell ref="B75:H75"/>
    <mergeCell ref="H8:I8"/>
  </mergeCells>
  <printOptions/>
  <pageMargins left="0.5118110236220472" right="0.3937007874015748" top="0.7874015748031497" bottom="0.7874015748031497" header="0.31496062992125984" footer="0.31496062992125984"/>
  <pageSetup horizontalDpi="600" verticalDpi="600" orientation="portrait" paperSize="9" scale="7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5"/>
  <sheetViews>
    <sheetView view="pageBreakPreview" zoomScale="85" zoomScaleNormal="85" zoomScaleSheetLayoutView="85" zoomScalePageLayoutView="0" workbookViewId="0" topLeftCell="A1">
      <selection activeCell="S22" sqref="S22"/>
    </sheetView>
  </sheetViews>
  <sheetFormatPr defaultColWidth="9.140625" defaultRowHeight="15"/>
  <cols>
    <col min="3" max="3" width="37.28125" style="0" customWidth="1"/>
    <col min="4" max="4" width="15.140625" style="0" customWidth="1"/>
    <col min="5" max="5" width="10.28125" style="0" bestFit="1" customWidth="1"/>
    <col min="6" max="6" width="12.8515625" style="0" customWidth="1"/>
    <col min="7" max="7" width="10.00390625" style="0" bestFit="1" customWidth="1"/>
    <col min="8" max="8" width="12.140625" style="0" customWidth="1"/>
    <col min="10" max="10" width="14.28125" style="0" customWidth="1"/>
    <col min="11" max="11" width="0" style="0" hidden="1" customWidth="1"/>
    <col min="12" max="12" width="12.8515625" style="0" hidden="1" customWidth="1"/>
    <col min="13" max="13" width="6.8515625" style="0" hidden="1" customWidth="1"/>
    <col min="14" max="14" width="0" style="0" hidden="1" customWidth="1"/>
    <col min="15" max="15" width="7.28125" style="0" hidden="1" customWidth="1"/>
    <col min="16" max="16" width="0" style="0" hidden="1" customWidth="1"/>
    <col min="18" max="18" width="15.421875" style="0" customWidth="1"/>
    <col min="20" max="20" width="11.28125" style="0" bestFit="1" customWidth="1"/>
  </cols>
  <sheetData>
    <row r="2" ht="49.5" customHeight="1">
      <c r="C2" s="214" t="s">
        <v>183</v>
      </c>
    </row>
    <row r="3" spans="2:18" ht="15.75" thickBot="1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</row>
    <row r="4" spans="2:18" ht="18">
      <c r="B4" s="66"/>
      <c r="C4" s="67"/>
      <c r="D4" s="184" t="s">
        <v>182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6"/>
    </row>
    <row r="5" spans="2:18" ht="15">
      <c r="B5" s="68"/>
      <c r="C5" s="69"/>
      <c r="D5" s="187" t="s">
        <v>44</v>
      </c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9"/>
    </row>
    <row r="6" spans="2:18" ht="15">
      <c r="B6" s="70"/>
      <c r="C6" s="71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3"/>
    </row>
    <row r="7" spans="2:19" ht="15.75">
      <c r="B7" s="74"/>
      <c r="C7" s="75"/>
      <c r="D7" s="211" t="s">
        <v>45</v>
      </c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3"/>
      <c r="S7">
        <v>1.27</v>
      </c>
    </row>
    <row r="8" spans="2:18" ht="15">
      <c r="B8" s="76" t="s">
        <v>46</v>
      </c>
      <c r="C8" s="77"/>
      <c r="D8" s="78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9"/>
    </row>
    <row r="9" spans="2:18" ht="30.75" customHeight="1">
      <c r="B9" s="80"/>
      <c r="C9" s="81"/>
      <c r="D9" s="205" t="str">
        <f>Orçamento!E6</f>
        <v>OBRA: EXECUÇÃO DE CONTENÇÃO NA AVENIDA JOSÉ DE OLIVEIRA DAMAS E NA AVENIDA CITY PARK / Urgência está em situação de risco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7"/>
    </row>
    <row r="10" spans="2:18" ht="28.5" customHeight="1">
      <c r="B10" s="80"/>
      <c r="C10" s="84"/>
      <c r="D10" s="208" t="str">
        <f>Orçamento!E7</f>
        <v>LOCAL: JOSÉ DE OLIVEIRA DAMAS / Altura do Park Hotel - AVENIDA CITY PARK / Altura da Rodoviária</v>
      </c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10"/>
    </row>
    <row r="11" spans="2:18" ht="15.75" thickBot="1">
      <c r="B11" s="85"/>
      <c r="C11" s="86"/>
      <c r="D11" s="87"/>
      <c r="E11" s="86"/>
      <c r="F11" s="86"/>
      <c r="G11" s="86"/>
      <c r="H11" s="86"/>
      <c r="I11" s="88"/>
      <c r="J11" s="89"/>
      <c r="K11" s="86"/>
      <c r="L11" s="86"/>
      <c r="M11" s="88"/>
      <c r="N11" s="89"/>
      <c r="O11" s="88"/>
      <c r="P11" s="89"/>
      <c r="Q11" s="89"/>
      <c r="R11" s="90"/>
    </row>
    <row r="12" spans="2:18" ht="15">
      <c r="B12" s="190" t="s">
        <v>47</v>
      </c>
      <c r="C12" s="192" t="s">
        <v>48</v>
      </c>
      <c r="D12" s="91" t="s">
        <v>49</v>
      </c>
      <c r="E12" s="194" t="s">
        <v>50</v>
      </c>
      <c r="F12" s="194"/>
      <c r="G12" s="194" t="s">
        <v>51</v>
      </c>
      <c r="H12" s="194"/>
      <c r="I12" s="194" t="s">
        <v>52</v>
      </c>
      <c r="J12" s="194"/>
      <c r="K12" s="194" t="s">
        <v>53</v>
      </c>
      <c r="L12" s="194"/>
      <c r="M12" s="194" t="s">
        <v>54</v>
      </c>
      <c r="N12" s="194"/>
      <c r="O12" s="194" t="s">
        <v>55</v>
      </c>
      <c r="P12" s="194"/>
      <c r="Q12" s="194" t="s">
        <v>56</v>
      </c>
      <c r="R12" s="195"/>
    </row>
    <row r="13" spans="2:18" ht="15">
      <c r="B13" s="191"/>
      <c r="C13" s="193"/>
      <c r="D13" s="92" t="s">
        <v>57</v>
      </c>
      <c r="E13" s="93" t="s">
        <v>58</v>
      </c>
      <c r="F13" s="93" t="s">
        <v>49</v>
      </c>
      <c r="G13" s="93" t="s">
        <v>58</v>
      </c>
      <c r="H13" s="93" t="s">
        <v>49</v>
      </c>
      <c r="I13" s="93" t="s">
        <v>58</v>
      </c>
      <c r="J13" s="93" t="s">
        <v>49</v>
      </c>
      <c r="K13" s="93" t="s">
        <v>58</v>
      </c>
      <c r="L13" s="93" t="s">
        <v>49</v>
      </c>
      <c r="M13" s="93" t="s">
        <v>58</v>
      </c>
      <c r="N13" s="93" t="s">
        <v>49</v>
      </c>
      <c r="O13" s="93" t="s">
        <v>58</v>
      </c>
      <c r="P13" s="93" t="s">
        <v>49</v>
      </c>
      <c r="Q13" s="93" t="s">
        <v>58</v>
      </c>
      <c r="R13" s="94" t="s">
        <v>49</v>
      </c>
    </row>
    <row r="14" spans="2:20" ht="31.5" customHeight="1">
      <c r="B14" s="95">
        <f>'[1]ORÇAMENTO'!D8</f>
        <v>1</v>
      </c>
      <c r="C14" s="96" t="str">
        <f>Orçamento!E11</f>
        <v>TRECHO PARK HOTEL - H=5,00m</v>
      </c>
      <c r="D14" s="97">
        <f>Orçamento!I45</f>
        <v>432791.48</v>
      </c>
      <c r="E14" s="245">
        <f>1-I14</f>
        <v>0.938042773</v>
      </c>
      <c r="F14" s="99">
        <f>D14*E14</f>
        <v>405976.920029974</v>
      </c>
      <c r="G14" s="245"/>
      <c r="H14" s="99">
        <f>D14*G14</f>
        <v>0</v>
      </c>
      <c r="I14" s="246">
        <v>0.061957227</v>
      </c>
      <c r="J14" s="99">
        <f>D14*I14</f>
        <v>26814.55997002596</v>
      </c>
      <c r="K14" s="98"/>
      <c r="L14" s="99">
        <f>D14*K14</f>
        <v>0</v>
      </c>
      <c r="M14" s="100"/>
      <c r="N14" s="99">
        <f>D14*M14</f>
        <v>0</v>
      </c>
      <c r="O14" s="100"/>
      <c r="P14" s="99">
        <f>D14*O14</f>
        <v>0</v>
      </c>
      <c r="Q14" s="101">
        <f>E14+G14+I14+K14+M14+O14</f>
        <v>1</v>
      </c>
      <c r="R14" s="102">
        <f>F14+H14+J14+L14+N14+P14</f>
        <v>432791.48</v>
      </c>
      <c r="T14" s="204">
        <f>1-I14</f>
        <v>0.938042773</v>
      </c>
    </row>
    <row r="15" spans="2:18" ht="15">
      <c r="B15" s="95" t="s">
        <v>59</v>
      </c>
      <c r="C15" s="96" t="str">
        <f>Orçamento!E47</f>
        <v>TRECHO CITY PARK - H=3,00m</v>
      </c>
      <c r="D15" s="97">
        <f>Orçamento!I73</f>
        <v>181611.88</v>
      </c>
      <c r="E15" s="245"/>
      <c r="F15" s="99">
        <f>D15*E15</f>
        <v>0</v>
      </c>
      <c r="G15" s="245">
        <f>1-I15</f>
        <v>0.9717778</v>
      </c>
      <c r="H15" s="99">
        <f>D15*G15</f>
        <v>176486.39320026402</v>
      </c>
      <c r="I15" s="246">
        <v>0.0282222</v>
      </c>
      <c r="J15" s="99">
        <f>D15*I15</f>
        <v>5125.486799736</v>
      </c>
      <c r="K15" s="98"/>
      <c r="L15" s="99">
        <f>D15*K15</f>
        <v>0</v>
      </c>
      <c r="M15" s="100"/>
      <c r="N15" s="99">
        <f>D15*M15</f>
        <v>0</v>
      </c>
      <c r="O15" s="100"/>
      <c r="P15" s="99">
        <f>D15*O15</f>
        <v>0</v>
      </c>
      <c r="Q15" s="101">
        <f>E15+G15+I15+K15+M15+O15</f>
        <v>1</v>
      </c>
      <c r="R15" s="102">
        <f>F15+H15+J15+L15+N15+P15</f>
        <v>181611.88000000003</v>
      </c>
    </row>
    <row r="16" spans="2:18" ht="15">
      <c r="B16" s="95"/>
      <c r="C16" s="96"/>
      <c r="D16" s="97"/>
      <c r="E16" s="203"/>
      <c r="F16" s="99"/>
      <c r="G16" s="203"/>
      <c r="H16" s="99"/>
      <c r="I16" s="202"/>
      <c r="J16" s="99"/>
      <c r="K16" s="103"/>
      <c r="L16" s="99"/>
      <c r="M16" s="104"/>
      <c r="N16" s="99"/>
      <c r="O16" s="104"/>
      <c r="P16" s="99"/>
      <c r="Q16" s="101"/>
      <c r="R16" s="102"/>
    </row>
    <row r="17" spans="2:18" ht="15.75">
      <c r="B17" s="105"/>
      <c r="C17" s="106" t="s">
        <v>20</v>
      </c>
      <c r="D17" s="107">
        <f>SUM(D14:D15)</f>
        <v>614403.36</v>
      </c>
      <c r="E17" s="108"/>
      <c r="F17" s="109">
        <f>SUM(F14:F15)</f>
        <v>405976.920029974</v>
      </c>
      <c r="G17" s="108"/>
      <c r="H17" s="109">
        <f>SUM(H14:H15)</f>
        <v>176486.39320026402</v>
      </c>
      <c r="I17" s="108"/>
      <c r="J17" s="109">
        <f>SUM(J14:J15)</f>
        <v>31940.04676976196</v>
      </c>
      <c r="K17" s="108"/>
      <c r="L17" s="109">
        <f>SUM(L14:L15)</f>
        <v>0</v>
      </c>
      <c r="M17" s="108"/>
      <c r="N17" s="109">
        <f>SUM(N14:N15)</f>
        <v>0</v>
      </c>
      <c r="O17" s="108"/>
      <c r="P17" s="109">
        <f>SUM(P14:P15)</f>
        <v>0</v>
      </c>
      <c r="Q17" s="110"/>
      <c r="R17" s="111">
        <f>SUM(R14:R15)</f>
        <v>614403.36</v>
      </c>
    </row>
    <row r="18" spans="2:18" ht="15">
      <c r="B18" s="80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3"/>
    </row>
    <row r="19" spans="2:18" ht="15">
      <c r="B19" s="80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3"/>
    </row>
    <row r="20" spans="2:18" ht="15">
      <c r="B20" s="80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2:18" ht="15">
      <c r="B21" s="80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3"/>
    </row>
    <row r="22" spans="2:18" ht="15">
      <c r="B22" s="80"/>
      <c r="C22" s="112"/>
      <c r="D22" s="82"/>
      <c r="E22" s="82"/>
      <c r="F22" s="82"/>
      <c r="G22" s="82"/>
      <c r="H22" s="82"/>
      <c r="I22" s="196" t="str">
        <f>Orçamento!G4</f>
        <v>Campos do Jordão, fevereiro de 2020</v>
      </c>
      <c r="J22" s="197"/>
      <c r="K22" s="197"/>
      <c r="L22" s="197"/>
      <c r="M22" s="197"/>
      <c r="N22" s="197"/>
      <c r="O22" s="197"/>
      <c r="P22" s="197"/>
      <c r="Q22" s="197"/>
      <c r="R22" s="198"/>
    </row>
    <row r="23" spans="2:18" ht="15">
      <c r="B23" s="80"/>
      <c r="C23" s="199" t="s">
        <v>60</v>
      </c>
      <c r="D23" s="200"/>
      <c r="E23" s="200"/>
      <c r="F23" s="200"/>
      <c r="G23" s="200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3"/>
    </row>
    <row r="24" spans="2:18" ht="15">
      <c r="B24" s="68"/>
      <c r="C24" s="201" t="s">
        <v>61</v>
      </c>
      <c r="D24" s="201"/>
      <c r="E24" s="201"/>
      <c r="F24" s="201"/>
      <c r="G24" s="201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3"/>
    </row>
    <row r="25" spans="2:18" ht="15.75" thickBot="1">
      <c r="B25" s="113"/>
      <c r="C25" s="114"/>
      <c r="D25" s="114"/>
      <c r="E25" s="114"/>
      <c r="F25" s="114"/>
      <c r="G25" s="114"/>
      <c r="H25" s="114"/>
      <c r="I25" s="89"/>
      <c r="J25" s="89"/>
      <c r="K25" s="114"/>
      <c r="L25" s="114"/>
      <c r="M25" s="89"/>
      <c r="N25" s="89"/>
      <c r="O25" s="89"/>
      <c r="P25" s="89"/>
      <c r="Q25" s="89"/>
      <c r="R25" s="90"/>
    </row>
  </sheetData>
  <sheetProtection/>
  <mergeCells count="18">
    <mergeCell ref="D9:R9"/>
    <mergeCell ref="D10:R10"/>
    <mergeCell ref="M12:N12"/>
    <mergeCell ref="O12:P12"/>
    <mergeCell ref="Q12:R12"/>
    <mergeCell ref="I22:R22"/>
    <mergeCell ref="C23:G23"/>
    <mergeCell ref="C24:G24"/>
    <mergeCell ref="B3:R3"/>
    <mergeCell ref="D4:R4"/>
    <mergeCell ref="D5:R5"/>
    <mergeCell ref="D7:R7"/>
    <mergeCell ref="B12:B13"/>
    <mergeCell ref="C12:C13"/>
    <mergeCell ref="E12:F12"/>
    <mergeCell ref="G12:H12"/>
    <mergeCell ref="I12:J12"/>
    <mergeCell ref="K12:L1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Jônatas</cp:lastModifiedBy>
  <cp:lastPrinted>2020-02-27T12:16:57Z</cp:lastPrinted>
  <dcterms:created xsi:type="dcterms:W3CDTF">2017-01-12T12:05:41Z</dcterms:created>
  <dcterms:modified xsi:type="dcterms:W3CDTF">2020-02-27T19:54:26Z</dcterms:modified>
  <cp:category/>
  <cp:version/>
  <cp:contentType/>
  <cp:contentStatus/>
</cp:coreProperties>
</file>